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70" tabRatio="859" activeTab="0"/>
  </bookViews>
  <sheets>
    <sheet name="Lead Worksheet" sheetId="1" r:id="rId1"/>
    <sheet name="Project A" sheetId="2" r:id="rId2"/>
    <sheet name="Project B" sheetId="3" r:id="rId3"/>
    <sheet name="Project C" sheetId="4" r:id="rId4"/>
    <sheet name="Project D" sheetId="5" r:id="rId5"/>
    <sheet name="Project E" sheetId="6" r:id="rId6"/>
    <sheet name="Project F" sheetId="7" r:id="rId7"/>
    <sheet name="Summary" sheetId="8" r:id="rId8"/>
    <sheet name="Answer Report 1" sheetId="9" r:id="rId9"/>
  </sheets>
  <definedNames>
    <definedName name="capitalcostsA">'Project A'!$G$68:$G$73</definedName>
    <definedName name="solver_adj" localSheetId="7" hidden="1">'Summary'!$B$38:$B$42</definedName>
    <definedName name="solver_cvg" localSheetId="7" hidden="1">0.0001</definedName>
    <definedName name="solver_drv" localSheetId="7" hidden="1">1</definedName>
    <definedName name="solver_est" localSheetId="7" hidden="1">1</definedName>
    <definedName name="solver_itr" localSheetId="7" hidden="1">100</definedName>
    <definedName name="solver_lhs1" localSheetId="7" hidden="1">'Summary'!$B$38:$B$42</definedName>
    <definedName name="solver_lhs2" localSheetId="7" hidden="1">'Summary'!$E$43:$I$43</definedName>
    <definedName name="solver_lin" localSheetId="7" hidden="1">2</definedName>
    <definedName name="solver_neg" localSheetId="7" hidden="1">2</definedName>
    <definedName name="solver_num" localSheetId="7" hidden="1">2</definedName>
    <definedName name="solver_nwt" localSheetId="7" hidden="1">1</definedName>
    <definedName name="solver_opt" localSheetId="7" hidden="1">'Summary'!$D$43</definedName>
    <definedName name="solver_pre" localSheetId="7" hidden="1">0.000001</definedName>
    <definedName name="solver_rel1" localSheetId="7" hidden="1">5</definedName>
    <definedName name="solver_rel2" localSheetId="7" hidden="1">1</definedName>
    <definedName name="solver_rhs1" localSheetId="7" hidden="1">binary</definedName>
    <definedName name="solver_rhs2" localSheetId="7" hidden="1">'Summary'!$E$44:$I$44</definedName>
    <definedName name="solver_scl" localSheetId="7" hidden="1">2</definedName>
    <definedName name="solver_sho" localSheetId="7" hidden="1">2</definedName>
    <definedName name="solver_tim" localSheetId="7" hidden="1">100</definedName>
    <definedName name="solver_tol" localSheetId="7" hidden="1">0.05</definedName>
    <definedName name="solver_typ" localSheetId="7" hidden="1">1</definedName>
    <definedName name="solver_val" localSheetId="7" hidden="1">0</definedName>
  </definedNames>
  <calcPr fullCalcOnLoad="1"/>
</workbook>
</file>

<file path=xl/comments1.xml><?xml version="1.0" encoding="utf-8"?>
<comments xmlns="http://schemas.openxmlformats.org/spreadsheetml/2006/main">
  <authors>
    <author>Matt H. Evans</author>
  </authors>
  <commentList>
    <comment ref="B26" authorId="0">
      <text>
        <r>
          <rPr>
            <sz val="8"/>
            <rFont val="Tahoma"/>
            <family val="2"/>
          </rPr>
          <t>Cells with a red triangle in the upper right corner have comments</t>
        </r>
      </text>
    </comment>
    <comment ref="E52" authorId="0">
      <text>
        <r>
          <rPr>
            <sz val="8"/>
            <rFont val="Tahoma"/>
            <family val="2"/>
          </rPr>
          <t>Projects that have an initial investment of less than $ 10,000 do not require formal analysis. Submit as a general budget request item.</t>
        </r>
      </text>
    </comment>
  </commentList>
</comments>
</file>

<file path=xl/comments2.xml><?xml version="1.0" encoding="utf-8"?>
<comments xmlns="http://schemas.openxmlformats.org/spreadsheetml/2006/main">
  <authors>
    <author>Matt H. Evans</author>
  </authors>
  <commentList>
    <comment ref="C71" authorId="0">
      <text>
        <r>
          <rPr>
            <sz val="8"/>
            <rFont val="Tahoma"/>
            <family val="2"/>
          </rPr>
          <t>Initially, purchase of diesel fuel for storage and testing.</t>
        </r>
      </text>
    </comment>
    <comment ref="C70" authorId="0">
      <text>
        <r>
          <rPr>
            <sz val="8"/>
            <rFont val="Tahoma"/>
            <family val="2"/>
          </rPr>
          <t>In house personnel to assist with installation and testing during first week.</t>
        </r>
      </text>
    </comment>
    <comment ref="C68" authorId="0">
      <text>
        <r>
          <rPr>
            <sz val="8"/>
            <rFont val="Tahoma"/>
            <family val="2"/>
          </rPr>
          <t>Quote from vendor selected in bidding process.</t>
        </r>
      </text>
    </comment>
    <comment ref="C76" authorId="0">
      <text>
        <r>
          <rPr>
            <sz val="8"/>
            <rFont val="Tahoma"/>
            <family val="2"/>
          </rPr>
          <t>Not recovered until three months after project is complete.</t>
        </r>
      </text>
    </comment>
    <comment ref="C279" authorId="0">
      <text>
        <r>
          <rPr>
            <sz val="8"/>
            <rFont val="Tahoma"/>
            <family val="2"/>
          </rPr>
          <t xml:space="preserve">There are usually very few unknowns concerning a Government Treasury Bond; yields, payments, and other attributes are usually very certain and thus, the probability of reliable information is extremely high for such an investment.
</t>
        </r>
      </text>
    </comment>
  </commentList>
</comments>
</file>

<file path=xl/comments3.xml><?xml version="1.0" encoding="utf-8"?>
<comments xmlns="http://schemas.openxmlformats.org/spreadsheetml/2006/main">
  <authors>
    <author>Matt H. Evans</author>
  </authors>
  <commentList>
    <comment ref="C71" authorId="0">
      <text>
        <r>
          <rPr>
            <sz val="8"/>
            <rFont val="Tahoma"/>
            <family val="2"/>
          </rPr>
          <t>A market study was conducted to ascertain if a new clinic would be profitable in Kansas City. The study is made regardless of the investment decision and therefore, it is not a relevant cost associated with the investment; it is sunk regardless if the project goes ahead or not.</t>
        </r>
      </text>
    </comment>
    <comment ref="C70" authorId="0">
      <text>
        <r>
          <rPr>
            <sz val="8"/>
            <rFont val="Tahoma"/>
            <family val="2"/>
          </rPr>
          <t>A contingency provision for unexpected costs is added into the investment estimate.</t>
        </r>
      </text>
    </comment>
    <comment ref="D91" authorId="0">
      <text>
        <r>
          <rPr>
            <sz val="8"/>
            <rFont val="Tahoma"/>
            <family val="2"/>
          </rPr>
          <t xml:space="preserve">Ratio of Net Working Capital to Sales. </t>
        </r>
      </text>
    </comment>
    <comment ref="D180" authorId="0">
      <text>
        <r>
          <rPr>
            <sz val="8"/>
            <rFont val="Tahoma"/>
            <family val="2"/>
          </rPr>
          <t xml:space="preserve">There are usually very few unknowns concerning a Government Treasury Bond; yields, payments, and other attributes are usually very certain and thus, the probability of reliable information is extremely high for such an investment.
</t>
        </r>
      </text>
    </comment>
  </commentList>
</comments>
</file>

<file path=xl/comments4.xml><?xml version="1.0" encoding="utf-8"?>
<comments xmlns="http://schemas.openxmlformats.org/spreadsheetml/2006/main">
  <authors>
    <author>Matt H. Evans</author>
  </authors>
  <commentList>
    <comment ref="C87" authorId="0">
      <text>
        <r>
          <rPr>
            <sz val="8"/>
            <rFont val="Tahoma"/>
            <family val="2"/>
          </rPr>
          <t>Modifications to technical equipment and processes to expand and introduce new services to existing customer base. These costs are not considered capitalized related expenditures.</t>
        </r>
      </text>
    </comment>
    <comment ref="C88" authorId="0">
      <text>
        <r>
          <rPr>
            <sz val="8"/>
            <rFont val="Tahoma"/>
            <family val="2"/>
          </rPr>
          <t xml:space="preserve">Senior Management from other locations will temporarily oversee upgrade project for successful implementation. </t>
        </r>
      </text>
    </comment>
    <comment ref="K96" authorId="0">
      <text>
        <r>
          <rPr>
            <sz val="8"/>
            <rFont val="Tahoma"/>
            <family val="2"/>
          </rPr>
          <t>The project is expected to tie up some minor amounts of working capial.</t>
        </r>
      </text>
    </comment>
    <comment ref="D152" authorId="0">
      <text>
        <r>
          <rPr>
            <sz val="8"/>
            <rFont val="Tahoma"/>
            <family val="2"/>
          </rPr>
          <t xml:space="preserve">There are usually very few unknowns concerning a Government Treasury Bond; yields, payments, and other attributes are usually very certain and thus, the probability of reliable information is extremely high for such an investment.
</t>
        </r>
      </text>
    </comment>
  </commentList>
</comments>
</file>

<file path=xl/comments5.xml><?xml version="1.0" encoding="utf-8"?>
<comments xmlns="http://schemas.openxmlformats.org/spreadsheetml/2006/main">
  <authors>
    <author>Matt H. Evans</author>
  </authors>
  <commentList>
    <comment ref="M154" authorId="0">
      <text>
        <r>
          <rPr>
            <sz val="8"/>
            <rFont val="Tahoma"/>
            <family val="2"/>
          </rPr>
          <t>Net Working Capital does not include interest bearing items, such as Short Term Loan Payable since our discount rate accounts for financing costs.</t>
        </r>
      </text>
    </comment>
    <comment ref="J154" authorId="0">
      <text>
        <r>
          <rPr>
            <sz val="8"/>
            <rFont val="Tahoma"/>
            <family val="2"/>
          </rPr>
          <t>We could just deduct depreciation before tax and then add it back to Net Income. Another approach is to simply add back the "tax benefit" of depreciation. You can do it either way!</t>
        </r>
      </text>
    </comment>
    <comment ref="K154" authorId="0">
      <text>
        <r>
          <rPr>
            <sz val="8"/>
            <rFont val="Tahoma"/>
            <family val="2"/>
          </rPr>
          <t>Interest Expense is a tax deduction. We could have simply deducted the entire interest amount in arriving at Taxable Income. Instead, we added the tax benefit and then deducted the entire loan payment.</t>
        </r>
      </text>
    </comment>
    <comment ref="L154" authorId="0">
      <text>
        <r>
          <rPr>
            <sz val="8"/>
            <rFont val="Tahoma"/>
            <family val="2"/>
          </rPr>
          <t xml:space="preserve">Since we did not deduct Interest Expense in arriving at Taxable Income, we show the entire financing cash outflow, but we offset it with the "tax benefit" of interest expense in the previous column. </t>
        </r>
      </text>
    </comment>
    <comment ref="C152" authorId="0">
      <text>
        <r>
          <rPr>
            <sz val="8"/>
            <rFont val="Tahoma"/>
            <family val="2"/>
          </rPr>
          <t xml:space="preserve">The preferred approach to cash flow analysis for projects with financing is to exclude financing flows and evaluate only project related cash flows. This way, we can use the appropriate discount rate adjusted for risk. This is how we did it in Cash Flow Analysis #1. However, we can combine both project and financing cash flows. Additionally, instead of adjusting cash flows for interest expense, principal payments on the loan, and depreciation, we will simply use "net" tax amounts to illustrate cash flows for our project. We still come up with the same answer. Example for Year 1 using gross amounts:
Revenues . . . . .   $ 535,800
Serv Costs . . . .     (112,000)
Other Costs . . .     (  38,000)
Interest Exp . . .    (  45,000)
Depreciation . . .    (325,000)
Taxable Income         15,800
Less Taxes . . . . .    (  4,345)
Net Income . . . .       11,455
Depreciation             325,000
Loan Principal          ( 83,546)
Working Capital      ( 29,500)
Cash Flow               223,409
NOTE: Don't forget to use only the financing cost rate as your discount rate when combining project and financing cash flows in your cash flow analysis.
</t>
        </r>
      </text>
    </comment>
    <comment ref="C104" authorId="0">
      <text>
        <r>
          <rPr>
            <sz val="8"/>
            <rFont val="Tahoma"/>
            <family val="2"/>
          </rPr>
          <t xml:space="preserve">When a project is financed, we can either include the cash flows associated with financing (principal and interest) or we can exclude the financing cash flows and focus on only the project related cash flows. Since the discount rate accounts for the cost of financing, the preferred approach is to analyze only project cash flows and ignore financing flows since they are accounted for within the discount rate. If you decide to include financing cash flows, then make sure you use a discount rate that matches the cost of financing the project. </t>
        </r>
      </text>
    </comment>
    <comment ref="C216" authorId="0">
      <text>
        <r>
          <rPr>
            <sz val="8"/>
            <rFont val="Tahoma"/>
            <family val="2"/>
          </rPr>
          <t xml:space="preserve">There are usually very few unknowns concerning a Government Treasury Bond; yields, payments, and other attributes are usually very certain and thus, the probability of reliable information is extremely high for such an investment.
</t>
        </r>
      </text>
    </comment>
  </commentList>
</comments>
</file>

<file path=xl/comments6.xml><?xml version="1.0" encoding="utf-8"?>
<comments xmlns="http://schemas.openxmlformats.org/spreadsheetml/2006/main">
  <authors>
    <author>Matt H. Evans</author>
  </authors>
  <commentList>
    <comment ref="D137" authorId="0">
      <text>
        <r>
          <rPr>
            <sz val="8"/>
            <rFont val="Tahoma"/>
            <family val="2"/>
          </rPr>
          <t xml:space="preserve">There are usually very few unknowns concerning a Government Treasury Bond; yields, payments, and other attributes are usually very certain and thus, the probability of reliable information is extremely high for such an investment.
</t>
        </r>
      </text>
    </comment>
  </commentList>
</comments>
</file>

<file path=xl/comments7.xml><?xml version="1.0" encoding="utf-8"?>
<comments xmlns="http://schemas.openxmlformats.org/spreadsheetml/2006/main">
  <authors>
    <author>Matt H. Evans</author>
    <author>JFI</author>
  </authors>
  <commentList>
    <comment ref="D132" authorId="0">
      <text>
        <r>
          <rPr>
            <sz val="8"/>
            <rFont val="Tahoma"/>
            <family val="2"/>
          </rPr>
          <t xml:space="preserve">There are usually very few unknowns concerning a Government Treasury Bond; yields, payments, and other attributes are usually very certain and thus, the probability of reliable information is extremely high for such an investment.
</t>
        </r>
      </text>
    </comment>
    <comment ref="I112" authorId="1">
      <text>
        <r>
          <rPr>
            <sz val="8"/>
            <rFont val="Tahoma"/>
            <family val="0"/>
          </rPr>
          <t>Since we have monthly cash flows, we would use the XIRR Function. However, Microsoft Excel does not accept an "array" for input values for the XIRR Function; but the IRR Financial Function doesl accept a "mix" or array of values. Since we have both positive and negative cash flows for each period, we have a mix or arrary of values and only the IRR Function will work. In order to use the IRR function, we will summarize cash flows on an annual basis.  We could also use the Solver Function to solve for finding the rate where the discounted inflows = discounted outflows.
NOTE: Negative values need to come first in the array or range that Excel uses to calculate the IRR.</t>
        </r>
      </text>
    </comment>
  </commentList>
</comments>
</file>

<file path=xl/comments8.xml><?xml version="1.0" encoding="utf-8"?>
<comments xmlns="http://schemas.openxmlformats.org/spreadsheetml/2006/main">
  <authors>
    <author>Matt H. Evans</author>
    <author>JFI</author>
  </authors>
  <commentList>
    <comment ref="F7" authorId="0">
      <text>
        <r>
          <rPr>
            <sz val="8"/>
            <rFont val="Tahoma"/>
            <family val="2"/>
          </rPr>
          <t>A = Cost Reduction
B = Replacement
C = Expansion / Addition
D = Service Improvement
E = Safety &amp; Compliance
F = Operating Necessity
G = Other</t>
        </r>
      </text>
    </comment>
    <comment ref="G7" authorId="0">
      <text>
        <r>
          <rPr>
            <sz val="8"/>
            <rFont val="Tahoma"/>
            <family val="2"/>
          </rPr>
          <t>1 = Carryover project, already in progress, requires additional funding
2 = Essential for continued operations, regulatory compliance, etc.
3 = Economically desired for revenue growth, cost reductions, etc.
4 = General improvement for building or expanding the business</t>
        </r>
      </text>
    </comment>
    <comment ref="H7" authorId="0">
      <text>
        <r>
          <rPr>
            <sz val="8"/>
            <rFont val="Tahoma"/>
            <family val="2"/>
          </rPr>
          <t>Net Present Value of Expected Cash Flows</t>
        </r>
      </text>
    </comment>
    <comment ref="I7" authorId="0">
      <text>
        <r>
          <rPr>
            <sz val="8"/>
            <rFont val="Tahoma"/>
            <family val="2"/>
          </rPr>
          <t>Modified Internal Rate of Return using expected cash flows of project.</t>
        </r>
      </text>
    </comment>
    <comment ref="B19" authorId="1">
      <text>
        <r>
          <rPr>
            <sz val="8"/>
            <rFont val="Tahoma"/>
            <family val="2"/>
          </rPr>
          <t xml:space="preserve">Solver is selected from the main toolbar: Tools -&gt; Solver. We will solve for a Target Cell, asking Solver to find the maximum or minimum values by changing a set of variables (cells) given a set of constraints. </t>
        </r>
      </text>
    </comment>
    <comment ref="D43" authorId="1">
      <text>
        <r>
          <rPr>
            <sz val="8"/>
            <rFont val="Tahoma"/>
            <family val="2"/>
          </rPr>
          <t>This is the "set" cell we will use with Solver.</t>
        </r>
      </text>
    </comment>
    <comment ref="C68" authorId="1">
      <text>
        <r>
          <rPr>
            <sz val="8"/>
            <rFont val="Tahoma"/>
            <family val="0"/>
          </rPr>
          <t xml:space="preserve">Constraints in Solver consists of three components:
1. Cell Reference (such as $B$38:$B$42)
2. Operator (such as bin for binary)
3. Constraint (default is binary when bin is operator)
</t>
        </r>
      </text>
    </comment>
    <comment ref="B38" authorId="1">
      <text>
        <r>
          <rPr>
            <sz val="8"/>
            <rFont val="Tahoma"/>
            <family val="0"/>
          </rPr>
          <t xml:space="preserve">Solver will change these values since these are the "variables" in our problem. Solver will also produce a report - Answer Report 1.
</t>
        </r>
      </text>
    </comment>
    <comment ref="E43" authorId="1">
      <text>
        <r>
          <rPr>
            <sz val="8"/>
            <rFont val="Tahoma"/>
            <family val="0"/>
          </rPr>
          <t xml:space="preserve">Constraints used with Solver start with this cell. We need to make sure we compare an equal set of arrays; I.e. compare the arrary or range E43:I43 against the range E44:I44.
</t>
        </r>
      </text>
    </comment>
  </commentList>
</comments>
</file>

<file path=xl/sharedStrings.xml><?xml version="1.0" encoding="utf-8"?>
<sst xmlns="http://schemas.openxmlformats.org/spreadsheetml/2006/main" count="1811" uniqueCount="628">
  <si>
    <t xml:space="preserve"> </t>
  </si>
  <si>
    <t>Solver add-on feature (Tools =&gt; Add-Ins =&gt; Solver).</t>
  </si>
  <si>
    <t>Cell includes a comment - move mouse and point over cell for comment</t>
  </si>
  <si>
    <t>Certain cells are highlighted as follows:</t>
  </si>
  <si>
    <t>Capital Budgeting Analysis for</t>
  </si>
  <si>
    <t>NPV</t>
  </si>
  <si>
    <t>Select?</t>
  </si>
  <si>
    <t>A</t>
  </si>
  <si>
    <t>B</t>
  </si>
  <si>
    <t>C</t>
  </si>
  <si>
    <t>D</t>
  </si>
  <si>
    <t>E</t>
  </si>
  <si>
    <t>F</t>
  </si>
  <si>
    <t>Project Name</t>
  </si>
  <si>
    <t>Intial Cash Outlay for Project</t>
  </si>
  <si>
    <t>Sale of Existing Assets</t>
  </si>
  <si>
    <t>Tax Benefit on Loss - Sale of Assets</t>
  </si>
  <si>
    <t>Proposed Project Expenditure:</t>
  </si>
  <si>
    <t>Installation Cost</t>
  </si>
  <si>
    <t>Labor</t>
  </si>
  <si>
    <t>Materials</t>
  </si>
  <si>
    <t>Shipping</t>
  </si>
  <si>
    <t>Taxes</t>
  </si>
  <si>
    <t>Diesel Generation System</t>
  </si>
  <si>
    <t>&lt;= Enter project name</t>
  </si>
  <si>
    <t>Year</t>
  </si>
  <si>
    <t>Year 1</t>
  </si>
  <si>
    <t>Year 2</t>
  </si>
  <si>
    <t>Year 3</t>
  </si>
  <si>
    <t>Year 4</t>
  </si>
  <si>
    <t>Year 5</t>
  </si>
  <si>
    <t>Preliminary Review</t>
  </si>
  <si>
    <t xml:space="preserve">Assign points from 0 to 5 for each of the following project attributes. 0 indicates that the </t>
  </si>
  <si>
    <t xml:space="preserve">attribute does not apply to the project. 5 is the highest rating, indicating that the project </t>
  </si>
  <si>
    <t>strongly meets this project attribute.</t>
  </si>
  <si>
    <t>Financial Attributes:</t>
  </si>
  <si>
    <t>Project improves overall profitability of the company</t>
  </si>
  <si>
    <t>F1</t>
  </si>
  <si>
    <t>F2</t>
  </si>
  <si>
    <t>Project lowers cost structure</t>
  </si>
  <si>
    <t>Project will generate a rate of return</t>
  </si>
  <si>
    <t>Project improves asset utilization</t>
  </si>
  <si>
    <t>Other Financial Attribute __________________________________</t>
  </si>
  <si>
    <t>F3</t>
  </si>
  <si>
    <t>F4</t>
  </si>
  <si>
    <t>F5</t>
  </si>
  <si>
    <t>F6</t>
  </si>
  <si>
    <t>Operating Attributes:</t>
  </si>
  <si>
    <t>O1</t>
  </si>
  <si>
    <t>O2</t>
  </si>
  <si>
    <t>O3</t>
  </si>
  <si>
    <t>Improves operating efficiencies</t>
  </si>
  <si>
    <t>Increases the customer base</t>
  </si>
  <si>
    <t>Improves overall customer service</t>
  </si>
  <si>
    <t>Improves competitive position of company</t>
  </si>
  <si>
    <t>Other Operating Attribute _________________________________</t>
  </si>
  <si>
    <t>O4</t>
  </si>
  <si>
    <t>O5</t>
  </si>
  <si>
    <t>O6</t>
  </si>
  <si>
    <t>Miscellaneous Attributes:</t>
  </si>
  <si>
    <t>M1</t>
  </si>
  <si>
    <t>Expands Human Resource Capital</t>
  </si>
  <si>
    <t>Enhances workforce productivity</t>
  </si>
  <si>
    <t>Project meets a critical regulatory, security or specific need</t>
  </si>
  <si>
    <t>Other Misc Attribute _____________________________________</t>
  </si>
  <si>
    <t>M2</t>
  </si>
  <si>
    <t>M3</t>
  </si>
  <si>
    <t>M4</t>
  </si>
  <si>
    <t>M5</t>
  </si>
  <si>
    <t>M6</t>
  </si>
  <si>
    <t>Total Preliminary Points</t>
  </si>
  <si>
    <t>M7</t>
  </si>
  <si>
    <t>Project fits with company strategy and goals</t>
  </si>
  <si>
    <t>with analysis and submission.</t>
  </si>
  <si>
    <t>Contingency Attributes:</t>
  </si>
  <si>
    <t>C1</t>
  </si>
  <si>
    <t>M8</t>
  </si>
  <si>
    <t>Project has options that allow for change during life</t>
  </si>
  <si>
    <t>Project will positively impact company even if value is negative</t>
  </si>
  <si>
    <t>Project can be abandoned easily with some positive value</t>
  </si>
  <si>
    <t>Project permits several options to maximize value</t>
  </si>
  <si>
    <t>C2</t>
  </si>
  <si>
    <t>C3</t>
  </si>
  <si>
    <t>C4</t>
  </si>
  <si>
    <t>Other Cont Attribute _____________________________________</t>
  </si>
  <si>
    <t>C5</t>
  </si>
  <si>
    <t>Projects with point totals less than 15 may represent poor investments and require additional</t>
  </si>
  <si>
    <t>approval before further analysis and processing. Projects with point totals between 15 and 20</t>
  </si>
  <si>
    <t>require caution and careful analysis. Projects with point totals greater than 20 may proceed</t>
  </si>
  <si>
    <t>Economic Analysis</t>
  </si>
  <si>
    <t>Financial Analysis</t>
  </si>
  <si>
    <t>Project Information</t>
  </si>
  <si>
    <t>Project Description &gt;</t>
  </si>
  <si>
    <t>Project Location &gt;</t>
  </si>
  <si>
    <t>Responsible Division &gt;</t>
  </si>
  <si>
    <t>Responsible Department &gt;</t>
  </si>
  <si>
    <t>Contact Person Name &gt;</t>
  </si>
  <si>
    <t>Estimated Project Start Date &gt;</t>
  </si>
  <si>
    <t>John Pearson, Southern Div Manager</t>
  </si>
  <si>
    <t>Southern</t>
  </si>
  <si>
    <t>Mobile, AL</t>
  </si>
  <si>
    <t>New diesel backup system for high volume medical plant</t>
  </si>
  <si>
    <t>Plant Engineering</t>
  </si>
  <si>
    <t>Project</t>
  </si>
  <si>
    <t>Ref</t>
  </si>
  <si>
    <t>0 = No</t>
  </si>
  <si>
    <t>1 = Yes</t>
  </si>
  <si>
    <t>Probability of project success is very high / low risk</t>
  </si>
  <si>
    <t>Equipment &amp; Facilities (purchase price)</t>
  </si>
  <si>
    <t>Total Project Investment</t>
  </si>
  <si>
    <t>*</t>
  </si>
  <si>
    <t>New revenues from higher output volumes</t>
  </si>
  <si>
    <t>Reductions in annual operating costs</t>
  </si>
  <si>
    <t>Eliminate third party vendor service</t>
  </si>
  <si>
    <t>Cash Flows associated with Project:</t>
  </si>
  <si>
    <t>Annual service and maintenance</t>
  </si>
  <si>
    <t>Annual fuel costs</t>
  </si>
  <si>
    <t>Depreciation:</t>
  </si>
  <si>
    <t>Cost</t>
  </si>
  <si>
    <t>Salvage Value</t>
  </si>
  <si>
    <t>Useful Life</t>
  </si>
  <si>
    <t>capitalized costs subject to depreciation using double declining method over 8 years with $ 8,000 salvage value</t>
  </si>
  <si>
    <t>Depreciation in Yr</t>
  </si>
  <si>
    <t>Operating Cash Flow in Year 1</t>
  </si>
  <si>
    <t>Less Taxes</t>
  </si>
  <si>
    <t>Net Income - Year 1</t>
  </si>
  <si>
    <t>Add Back Non Cash Depreciation</t>
  </si>
  <si>
    <t>Net Cash Flow - Year 1</t>
  </si>
  <si>
    <t>Year 1:</t>
  </si>
  <si>
    <t>Year 2:</t>
  </si>
  <si>
    <t>Net Income - Year 2</t>
  </si>
  <si>
    <t>Operating Cash Flow in Year 2</t>
  </si>
  <si>
    <t>Year 3:</t>
  </si>
  <si>
    <t>Operating Cash Flow in Year 3</t>
  </si>
  <si>
    <t>Net Income - Year 3</t>
  </si>
  <si>
    <t>Net Cash Flow - Year 3</t>
  </si>
  <si>
    <t>Year 5:</t>
  </si>
  <si>
    <t>Operating Cash Flow in Year 5</t>
  </si>
  <si>
    <t>Net Income - Year 5</t>
  </si>
  <si>
    <t>Year 4:</t>
  </si>
  <si>
    <t>Operating Cash Flow in Year 4</t>
  </si>
  <si>
    <t>Net Income - Year 4</t>
  </si>
  <si>
    <t>Net Cash Flow - Year 4</t>
  </si>
  <si>
    <t>Net Cash Flow - Year 5</t>
  </si>
  <si>
    <t>Year 6:</t>
  </si>
  <si>
    <t>Operating Cash Flow in Year 6</t>
  </si>
  <si>
    <t>Net Income - Year 6</t>
  </si>
  <si>
    <t>Net Cash Flow - Year 6</t>
  </si>
  <si>
    <t>Year 8:</t>
  </si>
  <si>
    <t>Net Cash Flow - Year 8</t>
  </si>
  <si>
    <t>Net Income - Year 8</t>
  </si>
  <si>
    <t>Operating Cash Flow in Year 8</t>
  </si>
  <si>
    <t>Year 7:</t>
  </si>
  <si>
    <t>Operating Cash Flow in Year 7</t>
  </si>
  <si>
    <t>Net Income - Year 7</t>
  </si>
  <si>
    <t>Net Cash Flow - Year 7</t>
  </si>
  <si>
    <t>Rebuild / Repair Unit Option</t>
  </si>
  <si>
    <t>Summarize Cash Outflows and Inflows for Project:</t>
  </si>
  <si>
    <t>Net Cash Flow - Year 2</t>
  </si>
  <si>
    <t>Net Present Value</t>
  </si>
  <si>
    <t>Required Rate of Return for Project =&gt;</t>
  </si>
  <si>
    <t xml:space="preserve">Present </t>
  </si>
  <si>
    <t>Value</t>
  </si>
  <si>
    <t>Modified IRR</t>
  </si>
  <si>
    <t>Reinvestment Rate for Project =&gt;</t>
  </si>
  <si>
    <t>Payback</t>
  </si>
  <si>
    <t>Recovery</t>
  </si>
  <si>
    <t>&lt;= payback</t>
  </si>
  <si>
    <t>Discounted Payback (years)</t>
  </si>
  <si>
    <t>have installed Solver:</t>
  </si>
  <si>
    <t>Three economic criteria are applied to projects: Net Present Value, Modified Internal Rate of</t>
  </si>
  <si>
    <t>Return and Discounted Payback Period. If your project(s) have non-periodic payments</t>
  </si>
  <si>
    <t>(payments are not equal over the life of the project), then you should use these Excel Functions:</t>
  </si>
  <si>
    <t>=XNPV for Net Present Value by entering specific dates of cash flows</t>
  </si>
  <si>
    <t>=XIRR for Internal Rate of Return by entering specific dates of cash flows</t>
  </si>
  <si>
    <t>New Clinic in Kansas City</t>
  </si>
  <si>
    <t>Upgrade to DuBois Center</t>
  </si>
  <si>
    <t>At the end of Year 8, a decision will be made to either rebuild the asset or outsource to third party.</t>
  </si>
  <si>
    <t>Terminal Year 9</t>
  </si>
  <si>
    <t>Salvage Value of Asset</t>
  </si>
  <si>
    <t>Working Capital Reversed</t>
  </si>
  <si>
    <t>Other Costs (expensed)</t>
  </si>
  <si>
    <t>Change to Net Working Capital</t>
  </si>
  <si>
    <t>Terminal</t>
  </si>
  <si>
    <t>Terminal Value</t>
  </si>
  <si>
    <t>Illustrate concepts related to capital budgeting analysis of projects. Certain aspects of a capital</t>
  </si>
  <si>
    <t>project may have not been included in order to help highlight basic concepts, such as</t>
  </si>
  <si>
    <t>New Walk In Clinic - Kansas City</t>
  </si>
  <si>
    <t>Kansas City</t>
  </si>
  <si>
    <t>Mid West</t>
  </si>
  <si>
    <t>Business Development</t>
  </si>
  <si>
    <t>Bill Watson, Operations Director</t>
  </si>
  <si>
    <t>Economic Assessment</t>
  </si>
  <si>
    <t>Project has positive Net Present Value?</t>
  </si>
  <si>
    <t>Project must meet at least two of the three Economic Criteria, otherwise special</t>
  </si>
  <si>
    <t>approval is required.</t>
  </si>
  <si>
    <t>Project has IRR in excess of cost?</t>
  </si>
  <si>
    <t>Project has a positive payback?</t>
  </si>
  <si>
    <t>Equipment and Fabrication</t>
  </si>
  <si>
    <t>Rework / Upgrade Existing Building</t>
  </si>
  <si>
    <t>Working Capital Requirements:</t>
  </si>
  <si>
    <t>&lt;= exclude since sunk cost, not relevant</t>
  </si>
  <si>
    <t>Market Study / Research</t>
  </si>
  <si>
    <t>Marketing and Promotion of Clinic</t>
  </si>
  <si>
    <t>Historical analysis of other similar clinics indicates that clinics require:</t>
  </si>
  <si>
    <t>Cash</t>
  </si>
  <si>
    <t>Accounts Receivable</t>
  </si>
  <si>
    <t>Inventories</t>
  </si>
  <si>
    <t>Accounts Payable</t>
  </si>
  <si>
    <t>Other accruals</t>
  </si>
  <si>
    <t>Total Current Liab</t>
  </si>
  <si>
    <t>Total Current Assets</t>
  </si>
  <si>
    <t>Net Working Capital</t>
  </si>
  <si>
    <t>Sales Revenues</t>
  </si>
  <si>
    <t>Ratio (NWC / Sales)</t>
  </si>
  <si>
    <t>Five Year Financial Forecast:</t>
  </si>
  <si>
    <t>Risk Analysis</t>
  </si>
  <si>
    <t xml:space="preserve">Risk Premium Applied to Project </t>
  </si>
  <si>
    <t>&lt;= Weighted Average Cost of Capital</t>
  </si>
  <si>
    <t>Probability of Accurate and Reliable Information - Gov't T Bond</t>
  </si>
  <si>
    <t>Risk Ranking assigned to Gov't Treasury Bond ( 1 to 10)</t>
  </si>
  <si>
    <t>Assign probabilities to three possible outcomes for project:</t>
  </si>
  <si>
    <t>P</t>
  </si>
  <si>
    <t>N</t>
  </si>
  <si>
    <t>O</t>
  </si>
  <si>
    <t>Pesimistic outlook, declining growth, slower volumes, etc.</t>
  </si>
  <si>
    <t>Normal expected outlook as applied in analysis</t>
  </si>
  <si>
    <t>Optomistic outlook, better than expected growth</t>
  </si>
  <si>
    <t>Total should equal</t>
  </si>
  <si>
    <t>Enter Expected Cash Flows for different outcomes:</t>
  </si>
  <si>
    <t>Normal</t>
  </si>
  <si>
    <t>Optomist</t>
  </si>
  <si>
    <t>Pesimist</t>
  </si>
  <si>
    <t>Expected</t>
  </si>
  <si>
    <t>Deviation</t>
  </si>
  <si>
    <t>Standard</t>
  </si>
  <si>
    <t>(Abs Risk)</t>
  </si>
  <si>
    <t>Coeff of</t>
  </si>
  <si>
    <t>Variation</t>
  </si>
  <si>
    <t>(Rel Risk)</t>
  </si>
  <si>
    <t>Totals</t>
  </si>
  <si>
    <t>Absolute Risk of Project (Std Deviation)</t>
  </si>
  <si>
    <t>Compare Risk Factor with Government Treasury Bond (lowest risk) to Project Risk Factor:</t>
  </si>
  <si>
    <t>Risk Ranking = 1 for lowest possible risk up to 10 for highest possible risk</t>
  </si>
  <si>
    <t>(a)</t>
  </si>
  <si>
    <t>(b)</t>
  </si>
  <si>
    <t>Exponential power to apply to Risk Ranking is 2 - (a)</t>
  </si>
  <si>
    <t>Risk Factor = (b) raised to the power (c)</t>
  </si>
  <si>
    <t>(c)</t>
  </si>
  <si>
    <t>Probability of Accurate and Reliable Information for Project</t>
  </si>
  <si>
    <t>Risk Ranking assigned to project (1 to 10)</t>
  </si>
  <si>
    <t>Exponential power to apply to Project</t>
  </si>
  <si>
    <t xml:space="preserve">Risk Factor for Project </t>
  </si>
  <si>
    <t>Operating Cash Flow</t>
  </si>
  <si>
    <t xml:space="preserve">Contingency Costs </t>
  </si>
  <si>
    <t>&lt;= Marginal Tax Rate *</t>
  </si>
  <si>
    <t xml:space="preserve">* If you expect changes in future tax rates, you may want to consider these changes </t>
  </si>
  <si>
    <t>in your analysis.</t>
  </si>
  <si>
    <t>Project Benefits &gt;</t>
  </si>
  <si>
    <t>Toehold market position, profit center, business expansion</t>
  </si>
  <si>
    <t>Eliminate downtime, improve efficiency, better service</t>
  </si>
  <si>
    <t>Revised Economic Analysis using Expected Values</t>
  </si>
  <si>
    <t>Flows</t>
  </si>
  <si>
    <t>payback</t>
  </si>
  <si>
    <t>Cost of Services:</t>
  </si>
  <si>
    <t>Purpose of Spreadsheet</t>
  </si>
  <si>
    <t>Cell Indicators</t>
  </si>
  <si>
    <t>General Input</t>
  </si>
  <si>
    <t>Organization of Spreadsheet</t>
  </si>
  <si>
    <t>Supplies, Vendors, etc.</t>
  </si>
  <si>
    <t>Personnel / Labor</t>
  </si>
  <si>
    <t>Profit before Tax</t>
  </si>
  <si>
    <t>Investment Credits</t>
  </si>
  <si>
    <t>Net Profit</t>
  </si>
  <si>
    <t>(1)</t>
  </si>
  <si>
    <t>(2)</t>
  </si>
  <si>
    <t>(1): Depreciated over 30 years using the straight line method with no salvage value.</t>
  </si>
  <si>
    <t>(2): Depreciated over 12 years using the declining balance method with no salvage value.</t>
  </si>
  <si>
    <t>Upgrade to Building</t>
  </si>
  <si>
    <t>Equipment</t>
  </si>
  <si>
    <t>Useful Life =&gt;</t>
  </si>
  <si>
    <t>Planned Critical Cash Outlays</t>
  </si>
  <si>
    <t>Total Cash Flow</t>
  </si>
  <si>
    <t>The above Ratio will be applied to estimate working capital requirements</t>
  </si>
  <si>
    <t>The following general inputs have been used on different worksheets:</t>
  </si>
  <si>
    <t>Flow</t>
  </si>
  <si>
    <t>Lead Worksheet</t>
  </si>
  <si>
    <t>NOTE: Depreciation for tax purposes is considered the same for accounting purposes. If tax depreciation is</t>
  </si>
  <si>
    <t>different than accounting depreciation, deduct tax depreciation in calculating taxes.</t>
  </si>
  <si>
    <t>Tax depreciation and accounting depreciation are considered the same.</t>
  </si>
  <si>
    <t>Opportunity Cost Analysis:</t>
  </si>
  <si>
    <t>As a result of this project investment, the company expects some negative impact to its</t>
  </si>
  <si>
    <t>Topeka, Kansas facility as follows:</t>
  </si>
  <si>
    <t>Reduction to Sales Revenues</t>
  </si>
  <si>
    <t>Reductions in overall cost</t>
  </si>
  <si>
    <t>Net Reduction to Income</t>
  </si>
  <si>
    <t>Opportunity Cost (per above)</t>
  </si>
  <si>
    <t>Adm Overhead Increases</t>
  </si>
  <si>
    <t>11 to 20</t>
  </si>
  <si>
    <t>Relative Risk of Project (Coeff of Variation)</t>
  </si>
  <si>
    <t>Upgrade DuBois for unused capacity</t>
  </si>
  <si>
    <t>Better use of facility, more income</t>
  </si>
  <si>
    <t>Iowa</t>
  </si>
  <si>
    <t>Finance</t>
  </si>
  <si>
    <t>Cheryl Strickland, Controller</t>
  </si>
  <si>
    <t>Cost Volume Profile of DuBois Facility</t>
  </si>
  <si>
    <t>Current Operating Capacity =&gt;</t>
  </si>
  <si>
    <t>Supplies and Inventory</t>
  </si>
  <si>
    <t>Personnel &amp; Labor</t>
  </si>
  <si>
    <t>Variable Adm Overhead</t>
  </si>
  <si>
    <t>Fixed Overhead Costs</t>
  </si>
  <si>
    <t>Maximum Capacity per month</t>
  </si>
  <si>
    <t>billable hours</t>
  </si>
  <si>
    <t>Total Unit Costs per Billable Hour</t>
  </si>
  <si>
    <t>Upgrade Systems &amp; Facilities</t>
  </si>
  <si>
    <t>Executive Management Time</t>
  </si>
  <si>
    <t>Training and Promotion</t>
  </si>
  <si>
    <t>Contingency Costs</t>
  </si>
  <si>
    <t>Total Investment</t>
  </si>
  <si>
    <t>Upgrade Investment will result in additional 5,000 billable hours per month</t>
  </si>
  <si>
    <t>New Services from Upgrade Investment are billable to customers at $ 50.00 per hour</t>
  </si>
  <si>
    <t>Estimated Changes from Upgrade Investment</t>
  </si>
  <si>
    <t>Revenues</t>
  </si>
  <si>
    <t>Personnel</t>
  </si>
  <si>
    <t>&amp; Labor</t>
  </si>
  <si>
    <t>Supplies</t>
  </si>
  <si>
    <t>&amp; Inventory</t>
  </si>
  <si>
    <t>Var Adm</t>
  </si>
  <si>
    <t>Overhead</t>
  </si>
  <si>
    <t xml:space="preserve">Sales growth rates over the next ten years are estimated at 4% per year with increases to costs </t>
  </si>
  <si>
    <t>estimated at 1.5% per year for each variable component.</t>
  </si>
  <si>
    <t>Profits</t>
  </si>
  <si>
    <t>before Tax</t>
  </si>
  <si>
    <t>Less</t>
  </si>
  <si>
    <t>Income</t>
  </si>
  <si>
    <t>Adj to</t>
  </si>
  <si>
    <t>Incremental</t>
  </si>
  <si>
    <t>Annual</t>
  </si>
  <si>
    <t>&lt; - - relevant annual costs to project - - &gt;</t>
  </si>
  <si>
    <t>Capacity after upgrade =&gt;</t>
  </si>
  <si>
    <t>Does upgrade project exceed max?</t>
  </si>
  <si>
    <t>Due to the rapid changes in services provided by this upgrade investment project, no terminal value was</t>
  </si>
  <si>
    <t xml:space="preserve">calculated for the periods beyond year 10. </t>
  </si>
  <si>
    <t>Medical Services USA</t>
  </si>
  <si>
    <t>Toronto</t>
  </si>
  <si>
    <t>Engineering</t>
  </si>
  <si>
    <t>Bob Ferrell</t>
  </si>
  <si>
    <t>Project Summary</t>
  </si>
  <si>
    <t>Total Upgrade Acquisition Price</t>
  </si>
  <si>
    <t>Financed through Bank</t>
  </si>
  <si>
    <t>Net Cash Outlay</t>
  </si>
  <si>
    <t>Installation / Training / Other Costs</t>
  </si>
  <si>
    <t>Marketing</t>
  </si>
  <si>
    <t>Allen J. Herbert</t>
  </si>
  <si>
    <t>Net Cash Flows</t>
  </si>
  <si>
    <t>Present</t>
  </si>
  <si>
    <t>Values</t>
  </si>
  <si>
    <t>Balance</t>
  </si>
  <si>
    <t>Loan</t>
  </si>
  <si>
    <t>Total</t>
  </si>
  <si>
    <t>Payment</t>
  </si>
  <si>
    <t>Principal</t>
  </si>
  <si>
    <t>Interest</t>
  </si>
  <si>
    <t>Depreciation</t>
  </si>
  <si>
    <t>Tax Benefit</t>
  </si>
  <si>
    <t>(1): $ 650,000 of this price is subject to capitalization. Depreciation deducted on the tax return</t>
  </si>
  <si>
    <t>differs from depreciation for accounting purposes:</t>
  </si>
  <si>
    <t>Tax Return</t>
  </si>
  <si>
    <t>Accounting</t>
  </si>
  <si>
    <t>Number of</t>
  </si>
  <si>
    <t>Installments</t>
  </si>
  <si>
    <t>Rate</t>
  </si>
  <si>
    <t>Canadian Division</t>
  </si>
  <si>
    <t>Service</t>
  </si>
  <si>
    <t>Costs</t>
  </si>
  <si>
    <t>Other</t>
  </si>
  <si>
    <t>Taxable</t>
  </si>
  <si>
    <t>Net</t>
  </si>
  <si>
    <t>the investment at 9% over a five year period. The loan repayment schedule is as follows:</t>
  </si>
  <si>
    <t>Working</t>
  </si>
  <si>
    <t>Capital</t>
  </si>
  <si>
    <t>Cash Flow</t>
  </si>
  <si>
    <t>of Interest</t>
  </si>
  <si>
    <t xml:space="preserve">Loan </t>
  </si>
  <si>
    <t>Selected input cells (not all input cells are highlighted since each project is unique)</t>
  </si>
  <si>
    <t>Tax Breaks for Investment</t>
  </si>
  <si>
    <t>Cash Flow Analysis #2 - Include Financing Flows / Discount Rate = Cost of Borrowing:</t>
  </si>
  <si>
    <t>Cash Flow Analysis #1 - Only Project Cash Flows</t>
  </si>
  <si>
    <t xml:space="preserve">Other </t>
  </si>
  <si>
    <t>Deduction</t>
  </si>
  <si>
    <t>Add Back</t>
  </si>
  <si>
    <t>Southeast</t>
  </si>
  <si>
    <t>Atlanta</t>
  </si>
  <si>
    <t>Upgrade to various Southeastern facilities</t>
  </si>
  <si>
    <t>Southeastern Upgrades</t>
  </si>
  <si>
    <t>After Tax Cost of Borrowing =&gt;</t>
  </si>
  <si>
    <t>Economic Analysis #1</t>
  </si>
  <si>
    <t>Economic Analysis #2</t>
  </si>
  <si>
    <t>Economic Assessment (based on Analysis #1)</t>
  </si>
  <si>
    <t>Risk Analysis (based on analysis #1)</t>
  </si>
  <si>
    <t>Summarize Economic and Risk Analysis for All Projects</t>
  </si>
  <si>
    <t>Required</t>
  </si>
  <si>
    <t>Investment</t>
  </si>
  <si>
    <t>Rate of</t>
  </si>
  <si>
    <t>Return</t>
  </si>
  <si>
    <t>Period</t>
  </si>
  <si>
    <t>Risk</t>
  </si>
  <si>
    <t>Factor</t>
  </si>
  <si>
    <t>Relative</t>
  </si>
  <si>
    <t>Absolute</t>
  </si>
  <si>
    <t>Preliminary</t>
  </si>
  <si>
    <t>Points</t>
  </si>
  <si>
    <t>(years)</t>
  </si>
  <si>
    <t>Supplemental Material for Short Course 3: Capital Budgeting Analysis, located on the internet at www.exinfm.com/training. Prepared by: Matt H. Evans, CPA, CMA, CFM</t>
  </si>
  <si>
    <t>Lead Wks</t>
  </si>
  <si>
    <t>Project A</t>
  </si>
  <si>
    <t>Project B</t>
  </si>
  <si>
    <t>Project C</t>
  </si>
  <si>
    <t>Project D</t>
  </si>
  <si>
    <t>Project E</t>
  </si>
  <si>
    <t>Project F</t>
  </si>
  <si>
    <t>Summary</t>
  </si>
  <si>
    <t>Several facilities in the Southeast area need to upgrade existing scanner equipment to better serve customers</t>
  </si>
  <si>
    <t>and produce higher quality analysis / treatments. The Atlanta Bank has agreed to finance $ 500,000 towards</t>
  </si>
  <si>
    <t>Canadian Partnership</t>
  </si>
  <si>
    <t>Market expansion, new source of revenues, leverage of assets</t>
  </si>
  <si>
    <t>&lt;= weighted average cost of capital</t>
  </si>
  <si>
    <t>&lt;= Threshold investment amount where formal project analysis</t>
  </si>
  <si>
    <t>is not required - general expenditure item.</t>
  </si>
  <si>
    <t>Project Analysis Required?</t>
  </si>
  <si>
    <t>Project Classification Codes:</t>
  </si>
  <si>
    <t>1</t>
  </si>
  <si>
    <t>2</t>
  </si>
  <si>
    <t>3</t>
  </si>
  <si>
    <t>4</t>
  </si>
  <si>
    <t>5</t>
  </si>
  <si>
    <t>6</t>
  </si>
  <si>
    <t>7</t>
  </si>
  <si>
    <t>Land</t>
  </si>
  <si>
    <t>Buildings</t>
  </si>
  <si>
    <t>Leasehold Improvement</t>
  </si>
  <si>
    <t>Furniture and Fixtures</t>
  </si>
  <si>
    <t>Vehicles</t>
  </si>
  <si>
    <t>Acquisitions</t>
  </si>
  <si>
    <t>8</t>
  </si>
  <si>
    <t>9</t>
  </si>
  <si>
    <t>Investments</t>
  </si>
  <si>
    <t>Cost Reduction</t>
  </si>
  <si>
    <t>Replacement</t>
  </si>
  <si>
    <t>Expansion / Addition</t>
  </si>
  <si>
    <t>Primary Justification for Project:</t>
  </si>
  <si>
    <t>Service Improvement</t>
  </si>
  <si>
    <t>Safety &amp; Compliance</t>
  </si>
  <si>
    <t>Operating Necessity</t>
  </si>
  <si>
    <t>G</t>
  </si>
  <si>
    <t>Priority Code:</t>
  </si>
  <si>
    <t>Carry over project, already in progress, requires additional funding</t>
  </si>
  <si>
    <t>Essential for continued operations, regulatory compliance, etc.</t>
  </si>
  <si>
    <t>Economically desired for revenue growth, cost reductions, etc.</t>
  </si>
  <si>
    <t>General improvement for building or expanding the business</t>
  </si>
  <si>
    <t>Classification &gt;</t>
  </si>
  <si>
    <t>Justification &gt;</t>
  </si>
  <si>
    <t>Priority &gt;</t>
  </si>
  <si>
    <t>Justification</t>
  </si>
  <si>
    <t>Code</t>
  </si>
  <si>
    <t>Priority</t>
  </si>
  <si>
    <t>Financial Analysis (all amounts are expressed in Canadian Dollars)</t>
  </si>
  <si>
    <t>Indication of an error in calculation or a red flag that a criteria has not been met</t>
  </si>
  <si>
    <t>Carl Jackson, V.P. Finance</t>
  </si>
  <si>
    <t>In order to meet this new mandate, an investment is required in field personnel, training, and</t>
  </si>
  <si>
    <t>equipment. Revenues from the new services are also forecasted based on demand in California</t>
  </si>
  <si>
    <t>A major regulatory change is expected to change certain services in the Northeastern United States.</t>
  </si>
  <si>
    <t>Northeast Regional Office - Boston, MA</t>
  </si>
  <si>
    <t>Regulatory Compliance NE</t>
  </si>
  <si>
    <t xml:space="preserve">In order to establish a toehold position in the Toronto area, a joint venture investment will be </t>
  </si>
  <si>
    <t>Expand Toronto Urban Centers</t>
  </si>
  <si>
    <t>Regulatory Compliance in NE</t>
  </si>
  <si>
    <t>rate of return is less than weighted average cost of capital *</t>
  </si>
  <si>
    <t>* Provide additional narrative information on "strategic" reasons for making this investment since the return is less than the cost of investments (cost of capital).</t>
  </si>
  <si>
    <t>made since the current major provider in Toronto needs improved child care services for the</t>
  </si>
  <si>
    <t>urban areas of Toronto. Medical Services USA will provide personnel and overall management</t>
  </si>
  <si>
    <t>Initial Relocation / Setup Costs</t>
  </si>
  <si>
    <t>which adopted this regulatory change two years ago. The regulatory change is subject to future</t>
  </si>
  <si>
    <t>Ten Year Projected Income Statement</t>
  </si>
  <si>
    <t>for urban child care. In return, Medical Services USA will share in the profits 50% / 50%. The Joint</t>
  </si>
  <si>
    <t>Venture Agreement has a ten year term period.</t>
  </si>
  <si>
    <t>Sales</t>
  </si>
  <si>
    <t>(100%)</t>
  </si>
  <si>
    <t>Cost of</t>
  </si>
  <si>
    <t>50%</t>
  </si>
  <si>
    <t>Share</t>
  </si>
  <si>
    <t>* convert from Canadian Dollars to U.S. Dollars</t>
  </si>
  <si>
    <t>Estimated</t>
  </si>
  <si>
    <t xml:space="preserve">Convert </t>
  </si>
  <si>
    <t>to U.S.$ *</t>
  </si>
  <si>
    <t>Economic Analysis (U.S. Dollars)</t>
  </si>
  <si>
    <t>Date</t>
  </si>
  <si>
    <t>Monthly</t>
  </si>
  <si>
    <t>modification and therefore, the project is only projected over two years on a month to month basis.</t>
  </si>
  <si>
    <t>1 **</t>
  </si>
  <si>
    <t>** partial year in 1992</t>
  </si>
  <si>
    <t>Setup</t>
  </si>
  <si>
    <t>Outflows</t>
  </si>
  <si>
    <t xml:space="preserve">Misc / </t>
  </si>
  <si>
    <t>Net Cash</t>
  </si>
  <si>
    <t>Economic Analysis (Cash Flows by Month)</t>
  </si>
  <si>
    <t xml:space="preserve">Discounted Payback </t>
  </si>
  <si>
    <t>Immediate</t>
  </si>
  <si>
    <t>Month</t>
  </si>
  <si>
    <t>(Required for Compliance)</t>
  </si>
  <si>
    <t xml:space="preserve">Financial Modeling Textbooks provide useful examples of how Excel Solver can be used to solve for capital budgeting program decisions given a </t>
  </si>
  <si>
    <t>Using Solver for Program Constraints</t>
  </si>
  <si>
    <t>set of constraints. The following example will illustrate how we could apply Solver for finding the right set of projects given a set of contraints:</t>
  </si>
  <si>
    <t xml:space="preserve">Objective: Maximize Net Present Value of Projects </t>
  </si>
  <si>
    <t>Contraints:</t>
  </si>
  <si>
    <t>Year 1: Only $ 200,000 can be spent on all capital projects</t>
  </si>
  <si>
    <t>Year 2: Only $ 150,000 can be spent on all capital projects</t>
  </si>
  <si>
    <t>Year 3: Only $ 120,000 can be spent on all capital projects</t>
  </si>
  <si>
    <t>Year 4: Only $ 100,000 can be spent on all capital projects</t>
  </si>
  <si>
    <t>Year 5: Only $ 75,000 can be spent on all capital projects</t>
  </si>
  <si>
    <t>Five Projects require investments over five years and have the following Net Present Values:</t>
  </si>
  <si>
    <t>Annual Marketing Program</t>
  </si>
  <si>
    <t>IT Infrastructure Development</t>
  </si>
  <si>
    <t>Executive Leadership</t>
  </si>
  <si>
    <t>HR Capital Improvement</t>
  </si>
  <si>
    <t>Product Research</t>
  </si>
  <si>
    <t>We will enter the following constraints into Solver:</t>
  </si>
  <si>
    <t>&lt; - - - - - Five Year Capital Budgets for Each Project - - - - - &gt;</t>
  </si>
  <si>
    <t>Dates</t>
  </si>
  <si>
    <t>There is no initial investment required for this project.</t>
  </si>
  <si>
    <t>(simple calc)</t>
  </si>
  <si>
    <t>(functional)</t>
  </si>
  <si>
    <t>Calculate IRR (annual basis):</t>
  </si>
  <si>
    <t>1992 Total</t>
  </si>
  <si>
    <t>1993 Total</t>
  </si>
  <si>
    <t>Inflow</t>
  </si>
  <si>
    <t>Outflow</t>
  </si>
  <si>
    <t>Rate of Return (IRR Annual Basis)</t>
  </si>
  <si>
    <t>Annual Sub Total</t>
  </si>
  <si>
    <t>Inflows</t>
  </si>
  <si>
    <t>Adjusted</t>
  </si>
  <si>
    <t>Example:</t>
  </si>
  <si>
    <t>LE: Less than or Equal to</t>
  </si>
  <si>
    <t>$ 45,000 A + $ 55,000 B + $ 25,000 C + $ 35,000 D + $ 50,000 E .LE. $ 200,000</t>
  </si>
  <si>
    <t>$ 40,000 A + $ 60,000 B + $ 20,000 C + $ 30,000 D + $ 45,000 E .LE. $ 150,000</t>
  </si>
  <si>
    <t>$ 38,000 A + $ 60,000 B + $ 20,000 C + $ 30,000 D + $ 42,000 E .LE. $ 120,000</t>
  </si>
  <si>
    <t>$ 35,000 A + $ 58,000 B + $ 18,000 C + $ 28,000 D + $ 40,000 E .LE. $ 100,000</t>
  </si>
  <si>
    <t>$ 35,000 A + $ 55,000 B + $ 17,000 C + $ 27,000 D + $ 40,000 E .LE. $  75,000</t>
  </si>
  <si>
    <t>Each of the above constraints recognizes that we can spend no more than what is budgeted each year. We also</t>
  </si>
  <si>
    <t>have the equation we are trying to solve for:</t>
  </si>
  <si>
    <t>Maximize NPV = $ 650,000 A + $ 820,000 B + $ 540,000 C + $ 701,000 D + $ 490,000 E</t>
  </si>
  <si>
    <t>We will also use as our variables "0" for No and "1" for Yes as to which projects we should select given the above</t>
  </si>
  <si>
    <t>Total (SumProduct)</t>
  </si>
  <si>
    <t>Maximum Allowed Budget</t>
  </si>
  <si>
    <t>constraints and equation. The "maximum" NPV will show up in our "set" cell which is cell D43.</t>
  </si>
  <si>
    <t>Now go to the main toolbar, select Tools -&gt; Solver and enter the following:</t>
  </si>
  <si>
    <t>B38:B42 .EQ. Binary</t>
  </si>
  <si>
    <t>LE or &lt;= (less than or equal to)</t>
  </si>
  <si>
    <t>EQ or = (equal)</t>
  </si>
  <si>
    <t>Microsoft Excel 9.0 Answer Report</t>
  </si>
  <si>
    <t>Worksheet: [CBAnalysis.xls]Summary</t>
  </si>
  <si>
    <t>Report Created: 2/26/2003 9:58:29 AM</t>
  </si>
  <si>
    <t>Target Cell (Max)</t>
  </si>
  <si>
    <t>Cell</t>
  </si>
  <si>
    <t>Name</t>
  </si>
  <si>
    <t>Original Value</t>
  </si>
  <si>
    <t>Final Value</t>
  </si>
  <si>
    <t>Adjustable Cells</t>
  </si>
  <si>
    <t>Constraints</t>
  </si>
  <si>
    <t>Cell Value</t>
  </si>
  <si>
    <t>Formula</t>
  </si>
  <si>
    <t>Status</t>
  </si>
  <si>
    <t>Slack</t>
  </si>
  <si>
    <t>$D$43</t>
  </si>
  <si>
    <t>Total (SumProduct) NPV</t>
  </si>
  <si>
    <t>$B$38</t>
  </si>
  <si>
    <t>A 1 = Yes</t>
  </si>
  <si>
    <t>$B$39</t>
  </si>
  <si>
    <t>B 1 = Yes</t>
  </si>
  <si>
    <t>$B$40</t>
  </si>
  <si>
    <t>C 1 = Yes</t>
  </si>
  <si>
    <t>$B$41</t>
  </si>
  <si>
    <t>D 1 = Yes</t>
  </si>
  <si>
    <t>$B$42</t>
  </si>
  <si>
    <t>E 1 = Yes</t>
  </si>
  <si>
    <t>$E$43</t>
  </si>
  <si>
    <t>Total (SumProduct) Year 1</t>
  </si>
  <si>
    <t>$E$43&lt;=$E$44</t>
  </si>
  <si>
    <t>Not Binding</t>
  </si>
  <si>
    <t>$F$43</t>
  </si>
  <si>
    <t>Total (SumProduct) Year 2</t>
  </si>
  <si>
    <t>$F$43&lt;=$F$44</t>
  </si>
  <si>
    <t>$G$43</t>
  </si>
  <si>
    <t>Total (SumProduct) Year 3</t>
  </si>
  <si>
    <t>$G$43&lt;=$G$44</t>
  </si>
  <si>
    <t>$H$43</t>
  </si>
  <si>
    <t>Total (SumProduct) Year 4</t>
  </si>
  <si>
    <t>$H$43&lt;=$H$44</t>
  </si>
  <si>
    <t>$I$43</t>
  </si>
  <si>
    <t>Total (SumProduct) Year 5</t>
  </si>
  <si>
    <t>$I$43&lt;=$I$44</t>
  </si>
  <si>
    <t>Binding</t>
  </si>
  <si>
    <t>$B$38=binary</t>
  </si>
  <si>
    <t>$B$39=binary</t>
  </si>
  <si>
    <t>$B$40=binary</t>
  </si>
  <si>
    <t>$B$41=binary</t>
  </si>
  <si>
    <t>$B$42=binary</t>
  </si>
  <si>
    <t>1. Target Cell is D43</t>
  </si>
  <si>
    <t>2. Equal to: Select the Max button since we are solving for maximum values.</t>
  </si>
  <si>
    <t>3. By Changing Cells: Select the range B38:B42 as our variables.</t>
  </si>
  <si>
    <t>4. Subject to Constraints: Add two contraints as follows:</t>
  </si>
  <si>
    <t>E43:I43 .LE. E44:I44</t>
  </si>
  <si>
    <t>5. Click on Solve. The Find Solution dialog box may pop up. Click on Answer. Solver will change the variables</t>
  </si>
  <si>
    <t>Using Excel Solver, we would select Projects A, C, and D!</t>
  </si>
  <si>
    <t>Note: The Solver feature of Excel is used in an example at the end. Please make sure that you</t>
  </si>
  <si>
    <t>Compliance</t>
  </si>
  <si>
    <t>Project F Analysis - Example of Monthly Inflows / Outflows</t>
  </si>
  <si>
    <t>Project A Analysis - Example with Annual Cash Flow Calculations</t>
  </si>
  <si>
    <t>Project B Analysis - Example with Sunk Costs &amp; Projected Financials</t>
  </si>
  <si>
    <t>Project C Analysis - Example of Upgrade Investment</t>
  </si>
  <si>
    <t>Project D Analysis - Example of Project Financing</t>
  </si>
  <si>
    <t>Project E Analysis - Example of Foreign Investment</t>
  </si>
  <si>
    <t>Summary and Example of Using Excel Solver</t>
  </si>
  <si>
    <t>Answer Report 1 - Output from Using Excel Solver in Summary Example</t>
  </si>
  <si>
    <t>Project Codes (Used to help categorize various capital projects)</t>
  </si>
  <si>
    <t>(which we first entered all as zero's in cells B38:B42) and produce a report (Answer Report 1)</t>
  </si>
  <si>
    <t>Net Present Value. The spreadsheet is setup to evaluate six different projects and summarize</t>
  </si>
  <si>
    <t>all projects based on both economic analysis and risk factors assigned.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</si>
</sst>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m/dd/yy"/>
    <numFmt numFmtId="166" formatCode="#,##0.0000000000_);\(#,##0.0000000000\)"/>
    <numFmt numFmtId="167" formatCode="0.0"/>
    <numFmt numFmtId="168" formatCode="0.000_);\(0.000\)"/>
    <numFmt numFmtId="169" formatCode="&quot;$&quot;#,##0"/>
    <numFmt numFmtId="170" formatCode="mmmm\-yy"/>
    <numFmt numFmtId="171" formatCode="mmm\-yyyy"/>
  </numFmts>
  <fonts count="13">
    <font>
      <sz val="10"/>
      <name val="Arial"/>
      <family val="0"/>
    </font>
    <font>
      <b/>
      <sz val="14"/>
      <name val="Arial"/>
      <family val="2"/>
    </font>
    <font>
      <u val="single"/>
      <sz val="10"/>
      <name val="Arial"/>
      <family val="2"/>
    </font>
    <font>
      <sz val="8"/>
      <name val="Tahoma"/>
      <family val="2"/>
    </font>
    <font>
      <i/>
      <sz val="10"/>
      <name val="Arial"/>
      <family val="2"/>
    </font>
    <font>
      <b/>
      <sz val="10"/>
      <name val="Arial"/>
      <family val="2"/>
    </font>
    <font>
      <b/>
      <i/>
      <sz val="10"/>
      <name val="Arial"/>
      <family val="2"/>
    </font>
    <font>
      <b/>
      <sz val="10"/>
      <color indexed="9"/>
      <name val="Arial"/>
      <family val="2"/>
    </font>
    <font>
      <u val="single"/>
      <sz val="10"/>
      <color indexed="12"/>
      <name val="Arial"/>
      <family val="0"/>
    </font>
    <font>
      <i/>
      <u val="single"/>
      <sz val="10"/>
      <name val="Arial"/>
      <family val="2"/>
    </font>
    <font>
      <b/>
      <sz val="10"/>
      <color indexed="18"/>
      <name val="Arial"/>
      <family val="0"/>
    </font>
    <font>
      <u val="single"/>
      <sz val="10"/>
      <color indexed="36"/>
      <name val="Arial"/>
      <family val="0"/>
    </font>
    <font>
      <b/>
      <sz val="8"/>
      <name val="Arial"/>
      <family val="2"/>
    </font>
  </fonts>
  <fills count="8">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16"/>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thin">
        <color indexed="2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xf>
    <xf numFmtId="0" fontId="0" fillId="2" borderId="0" xfId="0" applyFill="1" applyAlignment="1">
      <alignment/>
    </xf>
    <xf numFmtId="0" fontId="0" fillId="3" borderId="0" xfId="0" applyFill="1" applyAlignment="1">
      <alignment/>
    </xf>
    <xf numFmtId="0" fontId="1" fillId="2" borderId="0" xfId="0" applyFont="1" applyFill="1" applyAlignment="1">
      <alignment/>
    </xf>
    <xf numFmtId="0" fontId="4" fillId="0" borderId="0" xfId="0" applyFont="1" applyAlignment="1">
      <alignment/>
    </xf>
    <xf numFmtId="0" fontId="0" fillId="0" borderId="0" xfId="0" applyAlignment="1">
      <alignment horizontal="center"/>
    </xf>
    <xf numFmtId="0" fontId="1" fillId="0" borderId="0" xfId="0" applyFont="1" applyAlignment="1">
      <alignment horizontal="center"/>
    </xf>
    <xf numFmtId="0" fontId="0" fillId="0" borderId="0" xfId="0" applyFont="1" applyBorder="1" applyAlignment="1">
      <alignment horizontal="center"/>
    </xf>
    <xf numFmtId="1" fontId="0" fillId="0" borderId="0" xfId="0" applyNumberFormat="1" applyAlignment="1">
      <alignment horizontal="center"/>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164" fontId="0" fillId="0" borderId="0" xfId="0" applyNumberFormat="1" applyAlignment="1">
      <alignment/>
    </xf>
    <xf numFmtId="164" fontId="0" fillId="2" borderId="0" xfId="0" applyNumberFormat="1" applyFill="1" applyAlignment="1">
      <alignment/>
    </xf>
    <xf numFmtId="0" fontId="4" fillId="0" borderId="0" xfId="0" applyFont="1" applyAlignment="1">
      <alignment horizontal="center"/>
    </xf>
    <xf numFmtId="0" fontId="4" fillId="0" borderId="0" xfId="0" applyFont="1" applyAlignment="1">
      <alignment horizontal="left"/>
    </xf>
    <xf numFmtId="164" fontId="0" fillId="4" borderId="0" xfId="0" applyNumberFormat="1" applyFill="1" applyAlignment="1">
      <alignment/>
    </xf>
    <xf numFmtId="164" fontId="0" fillId="0" borderId="1" xfId="0" applyNumberFormat="1" applyBorder="1" applyAlignment="1">
      <alignment/>
    </xf>
    <xf numFmtId="165" fontId="0" fillId="2" borderId="0" xfId="0" applyNumberFormat="1" applyFill="1" applyAlignment="1">
      <alignment/>
    </xf>
    <xf numFmtId="10" fontId="0" fillId="2" borderId="0" xfId="0" applyNumberFormat="1" applyFill="1" applyAlignment="1">
      <alignment/>
    </xf>
    <xf numFmtId="0" fontId="0" fillId="0" borderId="0" xfId="0" applyAlignment="1">
      <alignment horizontal="right"/>
    </xf>
    <xf numFmtId="37" fontId="0" fillId="0" borderId="0" xfId="0" applyNumberFormat="1" applyAlignment="1">
      <alignment/>
    </xf>
    <xf numFmtId="37" fontId="0" fillId="0" borderId="1" xfId="0" applyNumberFormat="1" applyBorder="1" applyAlignment="1">
      <alignment/>
    </xf>
    <xf numFmtId="37" fontId="5" fillId="0" borderId="0" xfId="0" applyNumberFormat="1" applyFont="1" applyAlignment="1">
      <alignment/>
    </xf>
    <xf numFmtId="10" fontId="0" fillId="0" borderId="0" xfId="0" applyNumberFormat="1" applyAlignment="1">
      <alignment/>
    </xf>
    <xf numFmtId="49" fontId="0" fillId="0" borderId="0" xfId="0" applyNumberFormat="1" applyAlignment="1" quotePrefix="1">
      <alignment/>
    </xf>
    <xf numFmtId="0" fontId="0" fillId="0" borderId="0" xfId="0" applyFont="1" applyAlignment="1">
      <alignment/>
    </xf>
    <xf numFmtId="37" fontId="0" fillId="0" borderId="0" xfId="0" applyNumberFormat="1" applyFont="1" applyAlignment="1">
      <alignment/>
    </xf>
    <xf numFmtId="2" fontId="0" fillId="0" borderId="0" xfId="0" applyNumberFormat="1" applyAlignment="1">
      <alignment/>
    </xf>
    <xf numFmtId="0" fontId="0" fillId="0" borderId="0" xfId="0" applyAlignment="1">
      <alignment horizontal="left"/>
    </xf>
    <xf numFmtId="37" fontId="0" fillId="2" borderId="0" xfId="0" applyNumberFormat="1" applyFill="1" applyAlignment="1">
      <alignment/>
    </xf>
    <xf numFmtId="168" fontId="0" fillId="0" borderId="0" xfId="0" applyNumberFormat="1" applyAlignment="1">
      <alignment/>
    </xf>
    <xf numFmtId="1" fontId="0" fillId="0" borderId="0" xfId="0" applyNumberFormat="1" applyAlignment="1">
      <alignment/>
    </xf>
    <xf numFmtId="49" fontId="5" fillId="0" borderId="0" xfId="0" applyNumberFormat="1" applyFont="1" applyAlignment="1">
      <alignment/>
    </xf>
    <xf numFmtId="49" fontId="0" fillId="0" borderId="0" xfId="0" applyNumberFormat="1" applyAlignment="1">
      <alignment/>
    </xf>
    <xf numFmtId="0" fontId="0" fillId="0" borderId="0" xfId="0" applyFont="1" applyAlignment="1">
      <alignment horizontal="center"/>
    </xf>
    <xf numFmtId="3" fontId="0" fillId="0" borderId="0" xfId="0" applyNumberFormat="1" applyAlignment="1">
      <alignment/>
    </xf>
    <xf numFmtId="10" fontId="5" fillId="0" borderId="0" xfId="0" applyNumberFormat="1" applyFont="1" applyAlignment="1">
      <alignment/>
    </xf>
    <xf numFmtId="6" fontId="5" fillId="0" borderId="0" xfId="0" applyNumberFormat="1" applyFont="1" applyAlignment="1">
      <alignment/>
    </xf>
    <xf numFmtId="167" fontId="5" fillId="0" borderId="0" xfId="0" applyNumberFormat="1" applyFont="1" applyAlignment="1">
      <alignment/>
    </xf>
    <xf numFmtId="2" fontId="5" fillId="0" borderId="0" xfId="0" applyNumberFormat="1" applyFont="1" applyAlignment="1">
      <alignment/>
    </xf>
    <xf numFmtId="5" fontId="5" fillId="0" borderId="0" xfId="0" applyNumberFormat="1" applyFont="1" applyAlignment="1">
      <alignment/>
    </xf>
    <xf numFmtId="164" fontId="5" fillId="4" borderId="0" xfId="0" applyNumberFormat="1" applyFont="1" applyFill="1" applyAlignment="1">
      <alignment horizontal="right"/>
    </xf>
    <xf numFmtId="168" fontId="5" fillId="0" borderId="0" xfId="0" applyNumberFormat="1" applyFon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horizontal="right"/>
    </xf>
    <xf numFmtId="37" fontId="0" fillId="0" borderId="0" xfId="0" applyNumberFormat="1" applyBorder="1" applyAlignment="1">
      <alignment horizontal="center"/>
    </xf>
    <xf numFmtId="164" fontId="0" fillId="0" borderId="0" xfId="0" applyNumberFormat="1" applyFont="1" applyAlignment="1">
      <alignment/>
    </xf>
    <xf numFmtId="0" fontId="4" fillId="0" borderId="1" xfId="0" applyFont="1" applyBorder="1" applyAlignment="1">
      <alignment/>
    </xf>
    <xf numFmtId="9" fontId="0" fillId="0" borderId="0" xfId="0" applyNumberFormat="1" applyFont="1" applyAlignment="1">
      <alignment/>
    </xf>
    <xf numFmtId="3" fontId="0" fillId="0" borderId="0" xfId="0" applyNumberFormat="1" applyFont="1" applyAlignment="1">
      <alignment/>
    </xf>
    <xf numFmtId="0" fontId="0" fillId="0" borderId="1" xfId="0" applyFont="1" applyBorder="1" applyAlignment="1">
      <alignment/>
    </xf>
    <xf numFmtId="2" fontId="0" fillId="0" borderId="0" xfId="0" applyNumberFormat="1" applyFont="1" applyAlignment="1">
      <alignment/>
    </xf>
    <xf numFmtId="2" fontId="0" fillId="0" borderId="1" xfId="0" applyNumberFormat="1" applyFont="1" applyBorder="1" applyAlignment="1">
      <alignment/>
    </xf>
    <xf numFmtId="0" fontId="5" fillId="0" borderId="1" xfId="0" applyFont="1" applyBorder="1" applyAlignment="1">
      <alignment/>
    </xf>
    <xf numFmtId="3" fontId="0" fillId="0" borderId="1" xfId="0" applyNumberFormat="1" applyFont="1" applyBorder="1" applyAlignment="1">
      <alignment/>
    </xf>
    <xf numFmtId="164" fontId="0" fillId="0" borderId="1" xfId="0" applyNumberFormat="1" applyFont="1" applyBorder="1" applyAlignment="1">
      <alignment/>
    </xf>
    <xf numFmtId="3" fontId="0" fillId="0" borderId="0" xfId="0" applyNumberFormat="1" applyFont="1" applyAlignment="1">
      <alignment horizontal="right"/>
    </xf>
    <xf numFmtId="37" fontId="0" fillId="0" borderId="0" xfId="0" applyNumberFormat="1" applyAlignment="1">
      <alignment horizontal="center"/>
    </xf>
    <xf numFmtId="0" fontId="6" fillId="0" borderId="0" xfId="0" applyFont="1" applyBorder="1" applyAlignment="1">
      <alignment/>
    </xf>
    <xf numFmtId="0" fontId="0" fillId="0" borderId="0" xfId="0" applyBorder="1" applyAlignment="1">
      <alignment/>
    </xf>
    <xf numFmtId="164" fontId="0" fillId="0" borderId="0" xfId="0" applyNumberFormat="1" applyBorder="1" applyAlignment="1">
      <alignment/>
    </xf>
    <xf numFmtId="164" fontId="0" fillId="0" borderId="0" xfId="0" applyNumberFormat="1" applyFont="1" applyAlignment="1">
      <alignment horizontal="center"/>
    </xf>
    <xf numFmtId="37" fontId="0" fillId="0" borderId="0" xfId="0" applyNumberFormat="1" applyAlignment="1">
      <alignment horizontal="right"/>
    </xf>
    <xf numFmtId="6" fontId="0" fillId="0" borderId="0" xfId="0" applyNumberFormat="1" applyAlignment="1">
      <alignment/>
    </xf>
    <xf numFmtId="167" fontId="0" fillId="0" borderId="0" xfId="0" applyNumberFormat="1" applyAlignment="1">
      <alignment/>
    </xf>
    <xf numFmtId="169" fontId="0" fillId="0" borderId="0" xfId="0" applyNumberFormat="1" applyAlignment="1">
      <alignment/>
    </xf>
    <xf numFmtId="5" fontId="0" fillId="0" borderId="0" xfId="0" applyNumberFormat="1" applyAlignment="1">
      <alignment/>
    </xf>
    <xf numFmtId="0" fontId="0" fillId="3" borderId="1" xfId="0" applyFill="1" applyBorder="1" applyAlignment="1">
      <alignment/>
    </xf>
    <xf numFmtId="169" fontId="0" fillId="2" borderId="0" xfId="0" applyNumberFormat="1" applyFill="1" applyAlignment="1">
      <alignment/>
    </xf>
    <xf numFmtId="37" fontId="0" fillId="0" borderId="0" xfId="0" applyNumberFormat="1" applyFont="1" applyAlignment="1">
      <alignment horizontal="center"/>
    </xf>
    <xf numFmtId="0" fontId="0" fillId="0" borderId="0" xfId="0" applyFont="1" applyFill="1" applyBorder="1" applyAlignment="1">
      <alignment/>
    </xf>
    <xf numFmtId="2" fontId="0" fillId="0" borderId="0" xfId="0" applyNumberFormat="1" applyAlignment="1">
      <alignment horizontal="right"/>
    </xf>
    <xf numFmtId="2" fontId="0" fillId="0" borderId="0" xfId="0" applyNumberFormat="1" applyAlignment="1">
      <alignment horizontal="left"/>
    </xf>
    <xf numFmtId="0" fontId="0" fillId="0" borderId="0" xfId="0" applyNumberFormat="1" applyAlignment="1">
      <alignment horizontal="left"/>
    </xf>
    <xf numFmtId="0" fontId="0" fillId="0" borderId="0" xfId="0" applyNumberFormat="1" applyAlignment="1">
      <alignment horizontal="right"/>
    </xf>
    <xf numFmtId="0" fontId="0" fillId="2" borderId="0" xfId="0" applyFill="1" applyAlignment="1">
      <alignment horizontal="right"/>
    </xf>
    <xf numFmtId="9" fontId="0" fillId="0" borderId="0" xfId="0" applyNumberFormat="1" applyAlignment="1" quotePrefix="1">
      <alignment horizontal="center"/>
    </xf>
    <xf numFmtId="169" fontId="0" fillId="0" borderId="0" xfId="0" applyNumberFormat="1" applyAlignment="1">
      <alignment horizontal="center"/>
    </xf>
    <xf numFmtId="0" fontId="0" fillId="0" borderId="0" xfId="0" applyAlignment="1" quotePrefix="1">
      <alignment horizontal="center"/>
    </xf>
    <xf numFmtId="4" fontId="0" fillId="0" borderId="0" xfId="0" applyNumberFormat="1" applyAlignment="1">
      <alignment/>
    </xf>
    <xf numFmtId="170" fontId="0" fillId="0" borderId="0" xfId="0" applyNumberFormat="1" applyAlignment="1">
      <alignment/>
    </xf>
    <xf numFmtId="15" fontId="0" fillId="0" borderId="0" xfId="0" applyNumberFormat="1" applyAlignment="1">
      <alignment/>
    </xf>
    <xf numFmtId="2" fontId="5" fillId="0" borderId="0" xfId="0" applyNumberFormat="1" applyFont="1" applyAlignment="1">
      <alignment horizontal="center"/>
    </xf>
    <xf numFmtId="0" fontId="8" fillId="5" borderId="0" xfId="20" applyFill="1" applyAlignment="1">
      <alignment/>
    </xf>
    <xf numFmtId="3" fontId="5" fillId="0" borderId="0" xfId="0" applyNumberFormat="1" applyFont="1" applyAlignment="1">
      <alignment/>
    </xf>
    <xf numFmtId="167" fontId="0" fillId="0" borderId="0" xfId="0" applyNumberFormat="1" applyAlignment="1">
      <alignment horizontal="right"/>
    </xf>
    <xf numFmtId="3" fontId="0" fillId="0" borderId="0" xfId="0" applyNumberFormat="1" applyAlignment="1">
      <alignment horizontal="center"/>
    </xf>
    <xf numFmtId="0" fontId="9" fillId="0" borderId="0" xfId="0" applyFont="1" applyAlignment="1">
      <alignment/>
    </xf>
    <xf numFmtId="9" fontId="5" fillId="0" borderId="0" xfId="0" applyNumberFormat="1" applyFont="1" applyAlignment="1">
      <alignment/>
    </xf>
    <xf numFmtId="1" fontId="5" fillId="0" borderId="0" xfId="0" applyNumberFormat="1" applyFont="1" applyAlignment="1">
      <alignment horizontal="right"/>
    </xf>
    <xf numFmtId="10" fontId="0" fillId="0" borderId="0" xfId="0" applyNumberFormat="1" applyAlignment="1">
      <alignment horizontal="right"/>
    </xf>
    <xf numFmtId="0" fontId="0" fillId="0" borderId="2" xfId="0" applyFill="1" applyBorder="1" applyAlignment="1">
      <alignment/>
    </xf>
    <xf numFmtId="0" fontId="10" fillId="0" borderId="3" xfId="0" applyFont="1" applyFill="1" applyBorder="1" applyAlignment="1">
      <alignment horizontal="center"/>
    </xf>
    <xf numFmtId="0" fontId="0" fillId="0" borderId="4" xfId="0" applyFill="1" applyBorder="1" applyAlignment="1">
      <alignment/>
    </xf>
    <xf numFmtId="3" fontId="0" fillId="0" borderId="2" xfId="0" applyNumberFormat="1" applyFill="1" applyBorder="1" applyAlignment="1">
      <alignment/>
    </xf>
    <xf numFmtId="1" fontId="0" fillId="0" borderId="4" xfId="0" applyNumberFormat="1" applyFill="1" applyBorder="1" applyAlignment="1">
      <alignment/>
    </xf>
    <xf numFmtId="1" fontId="0" fillId="0" borderId="2" xfId="0" applyNumberFormat="1" applyFill="1" applyBorder="1" applyAlignment="1">
      <alignment/>
    </xf>
    <xf numFmtId="3" fontId="0" fillId="0" borderId="4" xfId="0" applyNumberFormat="1" applyFill="1" applyBorder="1" applyAlignment="1">
      <alignment/>
    </xf>
    <xf numFmtId="1" fontId="0" fillId="6" borderId="0" xfId="0" applyNumberFormat="1" applyFill="1" applyAlignment="1">
      <alignment horizontal="center"/>
    </xf>
    <xf numFmtId="0" fontId="8" fillId="0" borderId="0" xfId="20" applyAlignment="1">
      <alignment/>
    </xf>
    <xf numFmtId="0" fontId="7" fillId="7" borderId="0" xfId="0" applyFont="1" applyFill="1" applyAlignment="1">
      <alignment horizontal="left" vertical="center" wrapText="1"/>
    </xf>
    <xf numFmtId="0" fontId="0" fillId="0" borderId="0" xfId="0" applyAlignment="1">
      <alignment/>
    </xf>
    <xf numFmtId="0" fontId="0" fillId="0" borderId="0" xfId="0" applyAlignment="1">
      <alignment horizontal="center"/>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88"/>
  <sheetViews>
    <sheetView tabSelected="1" workbookViewId="0" topLeftCell="A1">
      <selection activeCell="A1" sqref="A1"/>
    </sheetView>
  </sheetViews>
  <sheetFormatPr defaultColWidth="9.140625" defaultRowHeight="12.75"/>
  <cols>
    <col min="11" max="11" width="9.7109375" style="0" customWidth="1"/>
  </cols>
  <sheetData>
    <row r="1" spans="3:12" ht="18" customHeight="1">
      <c r="C1" s="1" t="s">
        <v>4</v>
      </c>
      <c r="H1" s="104" t="s">
        <v>413</v>
      </c>
      <c r="I1" s="107"/>
      <c r="J1" s="107"/>
      <c r="K1" s="107"/>
      <c r="L1" s="107"/>
    </row>
    <row r="2" spans="3:12" ht="18">
      <c r="C2" s="5" t="s">
        <v>343</v>
      </c>
      <c r="D2" s="3"/>
      <c r="E2" s="3"/>
      <c r="F2" s="3"/>
      <c r="H2" s="107"/>
      <c r="I2" s="107"/>
      <c r="J2" s="107"/>
      <c r="K2" s="107"/>
      <c r="L2" s="107"/>
    </row>
    <row r="3" spans="8:12" ht="12.75">
      <c r="H3" s="107"/>
      <c r="I3" s="107"/>
      <c r="J3" s="107"/>
      <c r="K3" s="107"/>
      <c r="L3" s="107"/>
    </row>
    <row r="4" spans="1:12" ht="12.75">
      <c r="A4" s="11" t="s">
        <v>265</v>
      </c>
      <c r="E4" t="s">
        <v>0</v>
      </c>
      <c r="H4" s="107"/>
      <c r="I4" s="107"/>
      <c r="J4" s="107"/>
      <c r="K4" s="107"/>
      <c r="L4" s="107"/>
    </row>
    <row r="5" ht="12.75">
      <c r="K5" s="87" t="s">
        <v>414</v>
      </c>
    </row>
    <row r="6" spans="1:11" ht="12.75">
      <c r="A6" t="s">
        <v>185</v>
      </c>
      <c r="K6" s="87" t="s">
        <v>415</v>
      </c>
    </row>
    <row r="7" spans="1:11" ht="12.75">
      <c r="A7" t="s">
        <v>186</v>
      </c>
      <c r="K7" s="87" t="s">
        <v>416</v>
      </c>
    </row>
    <row r="8" spans="1:11" ht="12.75">
      <c r="A8" t="s">
        <v>626</v>
      </c>
      <c r="K8" s="87" t="s">
        <v>417</v>
      </c>
    </row>
    <row r="9" spans="1:11" ht="12.75">
      <c r="A9" t="s">
        <v>627</v>
      </c>
      <c r="K9" s="87" t="s">
        <v>418</v>
      </c>
    </row>
    <row r="10" spans="1:11" ht="12.75">
      <c r="A10" t="s">
        <v>614</v>
      </c>
      <c r="K10" s="87" t="s">
        <v>419</v>
      </c>
    </row>
    <row r="11" spans="1:11" ht="12.75">
      <c r="A11" t="s">
        <v>169</v>
      </c>
      <c r="C11" s="6" t="s">
        <v>1</v>
      </c>
      <c r="K11" s="87" t="s">
        <v>420</v>
      </c>
    </row>
    <row r="12" spans="3:11" ht="12.75">
      <c r="C12" s="6"/>
      <c r="K12" s="87" t="s">
        <v>421</v>
      </c>
    </row>
    <row r="13" spans="1:3" ht="12.75">
      <c r="A13" s="11" t="s">
        <v>89</v>
      </c>
      <c r="C13" s="6"/>
    </row>
    <row r="15" ht="12.75">
      <c r="A15" t="s">
        <v>170</v>
      </c>
    </row>
    <row r="16" ht="12.75">
      <c r="A16" t="s">
        <v>171</v>
      </c>
    </row>
    <row r="17" ht="12.75">
      <c r="A17" t="s">
        <v>172</v>
      </c>
    </row>
    <row r="18" ht="12.75">
      <c r="A18" s="27" t="s">
        <v>173</v>
      </c>
    </row>
    <row r="19" ht="12.75">
      <c r="A19" s="27" t="s">
        <v>174</v>
      </c>
    </row>
    <row r="20" ht="12.75">
      <c r="A20" s="27"/>
    </row>
    <row r="21" ht="12.75">
      <c r="A21" s="35" t="s">
        <v>266</v>
      </c>
    </row>
    <row r="23" ht="12.75">
      <c r="A23" t="s">
        <v>3</v>
      </c>
    </row>
    <row r="25" spans="2:3" ht="12.75">
      <c r="B25" s="3"/>
      <c r="C25" t="s">
        <v>384</v>
      </c>
    </row>
    <row r="26" ht="12.75">
      <c r="C26" t="s">
        <v>2</v>
      </c>
    </row>
    <row r="27" spans="2:3" ht="12.75">
      <c r="B27" s="4"/>
      <c r="C27" t="s">
        <v>467</v>
      </c>
    </row>
    <row r="29" ht="12.75">
      <c r="A29" s="11" t="s">
        <v>268</v>
      </c>
    </row>
    <row r="31" ht="12.75">
      <c r="C31" s="103" t="s">
        <v>286</v>
      </c>
    </row>
    <row r="32" ht="12.75">
      <c r="C32" s="103" t="s">
        <v>617</v>
      </c>
    </row>
    <row r="33" ht="12.75">
      <c r="C33" s="103" t="s">
        <v>618</v>
      </c>
    </row>
    <row r="34" ht="12.75">
      <c r="C34" s="103" t="s">
        <v>619</v>
      </c>
    </row>
    <row r="35" ht="12.75">
      <c r="C35" s="103" t="s">
        <v>620</v>
      </c>
    </row>
    <row r="36" ht="12.75">
      <c r="C36" s="103" t="s">
        <v>621</v>
      </c>
    </row>
    <row r="37" ht="12.75">
      <c r="C37" s="103" t="s">
        <v>616</v>
      </c>
    </row>
    <row r="38" ht="12.75">
      <c r="C38" s="103" t="s">
        <v>622</v>
      </c>
    </row>
    <row r="39" ht="12.75">
      <c r="C39" s="103" t="s">
        <v>623</v>
      </c>
    </row>
    <row r="41" ht="12.75">
      <c r="A41" s="11" t="s">
        <v>267</v>
      </c>
    </row>
    <row r="42" spans="1:2" ht="12.75">
      <c r="A42" s="11"/>
      <c r="B42" t="s">
        <v>284</v>
      </c>
    </row>
    <row r="44" spans="2:6" ht="12.75">
      <c r="B44" s="7" t="s">
        <v>7</v>
      </c>
      <c r="C44" s="3" t="s">
        <v>23</v>
      </c>
      <c r="D44" s="3"/>
      <c r="E44" s="3"/>
      <c r="F44" s="6" t="s">
        <v>24</v>
      </c>
    </row>
    <row r="45" spans="2:6" ht="12.75">
      <c r="B45" s="7" t="s">
        <v>8</v>
      </c>
      <c r="C45" s="3" t="s">
        <v>175</v>
      </c>
      <c r="D45" s="3"/>
      <c r="E45" s="3"/>
      <c r="F45" s="6" t="s">
        <v>24</v>
      </c>
    </row>
    <row r="46" spans="2:6" ht="12.75">
      <c r="B46" s="7" t="s">
        <v>9</v>
      </c>
      <c r="C46" s="3" t="s">
        <v>176</v>
      </c>
      <c r="D46" s="3"/>
      <c r="E46" s="3"/>
      <c r="F46" s="6" t="s">
        <v>24</v>
      </c>
    </row>
    <row r="47" spans="2:6" ht="12.75">
      <c r="B47" s="7" t="s">
        <v>10</v>
      </c>
      <c r="C47" s="3" t="s">
        <v>394</v>
      </c>
      <c r="D47" s="3"/>
      <c r="E47" s="3"/>
      <c r="F47" s="6" t="s">
        <v>24</v>
      </c>
    </row>
    <row r="48" spans="2:6" ht="12.75">
      <c r="B48" s="7" t="s">
        <v>11</v>
      </c>
      <c r="C48" s="3" t="s">
        <v>424</v>
      </c>
      <c r="D48" s="3"/>
      <c r="E48" s="3"/>
      <c r="F48" s="6" t="s">
        <v>24</v>
      </c>
    </row>
    <row r="49" spans="2:6" ht="12.75">
      <c r="B49" s="7" t="s">
        <v>12</v>
      </c>
      <c r="C49" s="3" t="s">
        <v>473</v>
      </c>
      <c r="D49" s="3"/>
      <c r="E49" s="3"/>
      <c r="F49" s="6" t="s">
        <v>24</v>
      </c>
    </row>
    <row r="50" spans="3:6" ht="12.75">
      <c r="C50" t="s">
        <v>0</v>
      </c>
      <c r="E50" s="21">
        <v>0.275</v>
      </c>
      <c r="F50" s="6" t="s">
        <v>255</v>
      </c>
    </row>
    <row r="51" spans="3:6" ht="12.75">
      <c r="C51" t="s">
        <v>0</v>
      </c>
      <c r="E51" s="21">
        <v>0.095</v>
      </c>
      <c r="F51" s="6" t="s">
        <v>218</v>
      </c>
    </row>
    <row r="52" spans="5:6" ht="12.75">
      <c r="E52" s="72">
        <v>10000</v>
      </c>
      <c r="F52" s="6" t="s">
        <v>427</v>
      </c>
    </row>
    <row r="53" ht="12.75">
      <c r="F53" s="6" t="s">
        <v>428</v>
      </c>
    </row>
    <row r="55" ht="12.75">
      <c r="B55" s="6" t="s">
        <v>256</v>
      </c>
    </row>
    <row r="56" ht="12.75">
      <c r="B56" s="6" t="s">
        <v>257</v>
      </c>
    </row>
    <row r="58" ht="12.75">
      <c r="A58" s="11" t="s">
        <v>624</v>
      </c>
    </row>
    <row r="60" ht="12.75">
      <c r="B60" t="s">
        <v>430</v>
      </c>
    </row>
    <row r="61" spans="2:6" ht="12.75">
      <c r="B61" s="75" t="s">
        <v>431</v>
      </c>
      <c r="C61" s="36" t="s">
        <v>438</v>
      </c>
      <c r="D61" s="36"/>
      <c r="E61" s="36"/>
      <c r="F61" s="36"/>
    </row>
    <row r="62" spans="2:6" ht="12.75">
      <c r="B62" s="75" t="s">
        <v>432</v>
      </c>
      <c r="C62" s="36" t="s">
        <v>439</v>
      </c>
      <c r="D62" s="36"/>
      <c r="E62" s="36"/>
      <c r="F62" s="36"/>
    </row>
    <row r="63" spans="2:6" ht="12.75">
      <c r="B63" s="75" t="s">
        <v>433</v>
      </c>
      <c r="C63" s="36" t="s">
        <v>440</v>
      </c>
      <c r="D63" s="36"/>
      <c r="E63" s="36"/>
      <c r="F63" s="36"/>
    </row>
    <row r="64" spans="2:6" ht="12.75">
      <c r="B64" s="75" t="s">
        <v>434</v>
      </c>
      <c r="C64" s="36" t="s">
        <v>279</v>
      </c>
      <c r="D64" s="36"/>
      <c r="E64" s="36"/>
      <c r="F64" s="36"/>
    </row>
    <row r="65" spans="2:6" ht="12.75">
      <c r="B65" s="75" t="s">
        <v>435</v>
      </c>
      <c r="C65" s="36" t="s">
        <v>441</v>
      </c>
      <c r="D65" s="36"/>
      <c r="E65" s="36"/>
      <c r="F65" s="36"/>
    </row>
    <row r="66" spans="2:6" ht="12.75">
      <c r="B66" s="75" t="s">
        <v>436</v>
      </c>
      <c r="C66" s="36" t="s">
        <v>442</v>
      </c>
      <c r="D66" s="36"/>
      <c r="E66" s="36"/>
      <c r="F66" s="36"/>
    </row>
    <row r="67" spans="2:6" ht="12.75">
      <c r="B67" s="75" t="s">
        <v>437</v>
      </c>
      <c r="C67" s="36" t="s">
        <v>443</v>
      </c>
      <c r="D67" s="36"/>
      <c r="E67" s="36"/>
      <c r="F67" s="36"/>
    </row>
    <row r="68" spans="2:6" ht="12.75">
      <c r="B68" s="75" t="s">
        <v>444</v>
      </c>
      <c r="C68" s="36" t="s">
        <v>446</v>
      </c>
      <c r="D68" s="36"/>
      <c r="E68" s="36"/>
      <c r="F68" s="36"/>
    </row>
    <row r="69" spans="2:3" ht="12.75">
      <c r="B69" s="75" t="s">
        <v>445</v>
      </c>
      <c r="C69" s="36" t="s">
        <v>375</v>
      </c>
    </row>
    <row r="70" ht="12.75">
      <c r="B70" s="75" t="s">
        <v>0</v>
      </c>
    </row>
    <row r="71" ht="12.75">
      <c r="B71" s="76" t="s">
        <v>450</v>
      </c>
    </row>
    <row r="72" spans="1:3" ht="12.75">
      <c r="A72" t="s">
        <v>0</v>
      </c>
      <c r="B72" s="78" t="s">
        <v>7</v>
      </c>
      <c r="C72" s="36" t="s">
        <v>447</v>
      </c>
    </row>
    <row r="73" spans="2:3" ht="12.75">
      <c r="B73" s="78" t="s">
        <v>8</v>
      </c>
      <c r="C73" s="36" t="s">
        <v>448</v>
      </c>
    </row>
    <row r="74" spans="2:3" ht="12.75">
      <c r="B74" s="78" t="s">
        <v>9</v>
      </c>
      <c r="C74" s="36" t="s">
        <v>449</v>
      </c>
    </row>
    <row r="75" spans="2:3" ht="12.75">
      <c r="B75" s="78" t="s">
        <v>10</v>
      </c>
      <c r="C75" s="36" t="s">
        <v>451</v>
      </c>
    </row>
    <row r="76" spans="2:3" ht="12.75">
      <c r="B76" s="78" t="s">
        <v>11</v>
      </c>
      <c r="C76" s="36" t="s">
        <v>452</v>
      </c>
    </row>
    <row r="77" spans="2:3" ht="12.75">
      <c r="B77" s="78" t="s">
        <v>12</v>
      </c>
      <c r="C77" s="36" t="s">
        <v>453</v>
      </c>
    </row>
    <row r="78" spans="2:3" ht="12.75">
      <c r="B78" s="78" t="s">
        <v>454</v>
      </c>
      <c r="C78" s="36" t="s">
        <v>375</v>
      </c>
    </row>
    <row r="79" ht="12.75">
      <c r="B79" s="78"/>
    </row>
    <row r="80" spans="2:4" ht="12.75">
      <c r="B80" s="77" t="s">
        <v>455</v>
      </c>
      <c r="C80" s="31"/>
      <c r="D80" s="31"/>
    </row>
    <row r="81" spans="2:4" ht="12.75">
      <c r="B81" s="22">
        <v>1</v>
      </c>
      <c r="C81" s="31" t="s">
        <v>456</v>
      </c>
      <c r="D81" s="31"/>
    </row>
    <row r="82" spans="2:4" ht="12.75">
      <c r="B82" s="22">
        <v>2</v>
      </c>
      <c r="C82" s="31" t="s">
        <v>457</v>
      </c>
      <c r="D82" s="31"/>
    </row>
    <row r="83" spans="2:4" ht="12.75">
      <c r="B83" s="22">
        <v>3</v>
      </c>
      <c r="C83" s="31" t="s">
        <v>458</v>
      </c>
      <c r="D83" s="31"/>
    </row>
    <row r="84" spans="2:4" ht="12.75">
      <c r="B84" s="22">
        <v>4</v>
      </c>
      <c r="C84" s="31" t="s">
        <v>459</v>
      </c>
      <c r="D84" s="31"/>
    </row>
    <row r="85" spans="2:4" ht="12.75">
      <c r="B85" s="22"/>
      <c r="C85" s="31"/>
      <c r="D85" s="31"/>
    </row>
    <row r="86" ht="12.75">
      <c r="B86" s="22"/>
    </row>
    <row r="87" ht="12.75">
      <c r="B87" s="22"/>
    </row>
    <row r="88" ht="12.75">
      <c r="B88" s="22"/>
    </row>
  </sheetData>
  <mergeCells count="1">
    <mergeCell ref="H1:L4"/>
  </mergeCells>
  <hyperlinks>
    <hyperlink ref="K12" location="Summary!A1" display="Summary"/>
    <hyperlink ref="K11" location="'Project F'!A1" display="Project F"/>
    <hyperlink ref="K10" location="'Project E'!A1" display="Project E"/>
    <hyperlink ref="K9" location="'Project D'!A1" display="Project D"/>
    <hyperlink ref="K8" location="'Project C'!A1" display="Project C"/>
    <hyperlink ref="K7" location="'Project B'!A1" display="Project B"/>
    <hyperlink ref="K6" location="'Project A'!A1" display="Project A"/>
    <hyperlink ref="K5" location="'Lead Worksheet'!A1" display="Lead Wks"/>
    <hyperlink ref="C31" location="'Lead Worksheet'!A1" display="Lead Worksheet"/>
    <hyperlink ref="C32" location="'Project A'!A1" display="Project A Analysis - Example with Annual Cash Flow Calculations"/>
    <hyperlink ref="C33" location="'Project B'!A1" display="Project B Analysis - Example with Sunk Costs &amp; Projected Financials"/>
    <hyperlink ref="C34" location="'Project C'!A1" display="Project C Analysis - Example of Upgrade Investment"/>
    <hyperlink ref="C35" location="'Project D'!A1" display="Project D Analysis - Example of Project Financing"/>
    <hyperlink ref="C36" location="'Project E'!A1" display="Project E Analysis - Example of Foreign Investment"/>
    <hyperlink ref="C37" location="'Project F'!A1" display="Project F Analysis - Example of Monthly Inflows / Outflows"/>
    <hyperlink ref="C38" location="Summary!A1" display="Summary and Example of Using Excel Solver"/>
    <hyperlink ref="C39" location="'Answer Report 1'!A1" display="Answer Report 1 - Output from Using Excel Solver in Summary Example"/>
  </hyperlink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B1:J333"/>
  <sheetViews>
    <sheetView workbookViewId="0" topLeftCell="A1">
      <selection activeCell="A1" sqref="A1"/>
    </sheetView>
  </sheetViews>
  <sheetFormatPr defaultColWidth="9.140625" defaultRowHeight="12.75"/>
  <cols>
    <col min="3" max="3" width="10.00390625" style="0" customWidth="1"/>
    <col min="4" max="4" width="9.8515625" style="0" customWidth="1"/>
    <col min="5" max="5" width="10.7109375" style="0" customWidth="1"/>
    <col min="6" max="6" width="10.57421875" style="0" customWidth="1"/>
    <col min="7" max="7" width="10.8515625" style="0" customWidth="1"/>
    <col min="8" max="8" width="10.28125" style="0" customWidth="1"/>
    <col min="9" max="9" width="4.28125" style="0" customWidth="1"/>
  </cols>
  <sheetData>
    <row r="1" ht="18">
      <c r="C1" s="1" t="s">
        <v>4</v>
      </c>
    </row>
    <row r="2" ht="18">
      <c r="C2" s="1" t="str">
        <f>'Lead Worksheet'!C2</f>
        <v>Medical Services USA</v>
      </c>
    </row>
    <row r="3" spans="2:4" ht="18">
      <c r="B3" s="8" t="str">
        <f>'Lead Worksheet'!B44</f>
        <v>A</v>
      </c>
      <c r="C3" s="1" t="str">
        <f>'Lead Worksheet'!C44</f>
        <v>Diesel Generation System</v>
      </c>
      <c r="D3" s="1"/>
    </row>
    <row r="5" spans="2:9" ht="12.75">
      <c r="B5" s="12" t="s">
        <v>91</v>
      </c>
      <c r="C5" s="13"/>
      <c r="D5" s="13"/>
      <c r="E5" s="13"/>
      <c r="F5" s="13"/>
      <c r="G5" s="13"/>
      <c r="H5" s="13"/>
      <c r="I5" s="13"/>
    </row>
    <row r="7" spans="2:9" ht="12.75">
      <c r="B7" t="s">
        <v>92</v>
      </c>
      <c r="D7" s="3" t="s">
        <v>101</v>
      </c>
      <c r="E7" s="3"/>
      <c r="F7" s="3"/>
      <c r="G7" s="3"/>
      <c r="H7" s="3"/>
      <c r="I7" s="3"/>
    </row>
    <row r="8" spans="2:9" ht="12.75">
      <c r="B8" t="s">
        <v>258</v>
      </c>
      <c r="D8" s="3" t="s">
        <v>260</v>
      </c>
      <c r="E8" s="3"/>
      <c r="F8" s="3"/>
      <c r="G8" s="3"/>
      <c r="H8" s="3"/>
      <c r="I8" s="3"/>
    </row>
    <row r="9" spans="2:9" ht="12.75">
      <c r="B9" t="s">
        <v>93</v>
      </c>
      <c r="D9" s="3" t="s">
        <v>100</v>
      </c>
      <c r="E9" s="3"/>
      <c r="F9" s="3"/>
      <c r="G9" s="3"/>
      <c r="H9" s="3"/>
      <c r="I9" s="3"/>
    </row>
    <row r="10" spans="2:9" ht="12.75">
      <c r="B10" t="s">
        <v>94</v>
      </c>
      <c r="E10" s="3" t="s">
        <v>99</v>
      </c>
      <c r="F10" s="3"/>
      <c r="G10" s="3"/>
      <c r="H10" s="3"/>
      <c r="I10" s="3"/>
    </row>
    <row r="11" spans="2:9" ht="12.75">
      <c r="B11" t="s">
        <v>95</v>
      </c>
      <c r="E11" s="3" t="s">
        <v>102</v>
      </c>
      <c r="F11" s="3"/>
      <c r="G11" s="3"/>
      <c r="H11" s="3"/>
      <c r="I11" s="3"/>
    </row>
    <row r="12" spans="2:9" ht="12.75">
      <c r="B12" t="s">
        <v>96</v>
      </c>
      <c r="E12" s="3" t="s">
        <v>98</v>
      </c>
      <c r="F12" s="3"/>
      <c r="G12" s="3"/>
      <c r="H12" s="3"/>
      <c r="I12" s="3"/>
    </row>
    <row r="13" spans="2:5" ht="12.75">
      <c r="B13" t="s">
        <v>97</v>
      </c>
      <c r="E13" s="20">
        <v>33604</v>
      </c>
    </row>
    <row r="14" spans="2:6" ht="12.75">
      <c r="B14" t="s">
        <v>460</v>
      </c>
      <c r="D14" s="79">
        <v>4</v>
      </c>
      <c r="E14" s="3"/>
      <c r="F14" t="s">
        <v>0</v>
      </c>
    </row>
    <row r="15" spans="2:6" ht="12.75">
      <c r="B15" t="s">
        <v>461</v>
      </c>
      <c r="D15" s="79" t="s">
        <v>12</v>
      </c>
      <c r="E15" s="3"/>
      <c r="F15" t="s">
        <v>0</v>
      </c>
    </row>
    <row r="16" spans="2:5" ht="12.75">
      <c r="B16" t="s">
        <v>462</v>
      </c>
      <c r="D16" s="79">
        <v>2</v>
      </c>
      <c r="E16" s="3"/>
    </row>
    <row r="18" spans="2:9" ht="12.75">
      <c r="B18" s="12" t="s">
        <v>31</v>
      </c>
      <c r="C18" s="13"/>
      <c r="D18" s="13"/>
      <c r="E18" s="13"/>
      <c r="F18" s="13"/>
      <c r="G18" s="13"/>
      <c r="H18" s="13"/>
      <c r="I18" s="13"/>
    </row>
    <row r="20" spans="2:4" ht="12.75">
      <c r="B20" s="6" t="s">
        <v>32</v>
      </c>
      <c r="C20" s="6"/>
      <c r="D20" s="6"/>
    </row>
    <row r="21" spans="2:4" ht="12.75">
      <c r="B21" s="6" t="s">
        <v>33</v>
      </c>
      <c r="C21" s="6"/>
      <c r="D21" s="6"/>
    </row>
    <row r="22" spans="2:4" ht="12.75">
      <c r="B22" s="6" t="s">
        <v>34</v>
      </c>
      <c r="C22" s="6"/>
      <c r="D22" s="6"/>
    </row>
    <row r="24" spans="2:9" ht="12.75">
      <c r="B24" s="6" t="s">
        <v>35</v>
      </c>
      <c r="I24" s="14"/>
    </row>
    <row r="25" spans="2:9" ht="12.75">
      <c r="B25" s="16" t="s">
        <v>37</v>
      </c>
      <c r="C25" s="6" t="s">
        <v>36</v>
      </c>
      <c r="D25" s="6"/>
      <c r="E25" s="6"/>
      <c r="F25" s="6"/>
      <c r="G25" s="6"/>
      <c r="I25" s="15">
        <v>2</v>
      </c>
    </row>
    <row r="26" spans="2:9" ht="12.75">
      <c r="B26" s="16" t="s">
        <v>38</v>
      </c>
      <c r="C26" s="6" t="s">
        <v>39</v>
      </c>
      <c r="D26" s="6"/>
      <c r="E26" s="6"/>
      <c r="F26" s="6"/>
      <c r="G26" s="6"/>
      <c r="I26" s="15">
        <v>3</v>
      </c>
    </row>
    <row r="27" spans="2:9" ht="12.75">
      <c r="B27" s="16" t="s">
        <v>43</v>
      </c>
      <c r="C27" s="6" t="s">
        <v>40</v>
      </c>
      <c r="D27" s="6"/>
      <c r="E27" s="6"/>
      <c r="F27" s="6"/>
      <c r="G27" s="6"/>
      <c r="I27" s="15">
        <v>3</v>
      </c>
    </row>
    <row r="28" spans="2:9" ht="12.75">
      <c r="B28" s="16" t="s">
        <v>44</v>
      </c>
      <c r="C28" s="6" t="s">
        <v>41</v>
      </c>
      <c r="D28" s="6"/>
      <c r="E28" s="6"/>
      <c r="F28" s="6"/>
      <c r="G28" s="6"/>
      <c r="I28" s="15">
        <v>1</v>
      </c>
    </row>
    <row r="29" spans="2:9" ht="12.75">
      <c r="B29" s="16" t="s">
        <v>45</v>
      </c>
      <c r="C29" s="6" t="s">
        <v>42</v>
      </c>
      <c r="D29" s="6"/>
      <c r="E29" s="6"/>
      <c r="F29" s="6"/>
      <c r="G29" s="6"/>
      <c r="I29" s="15">
        <v>0</v>
      </c>
    </row>
    <row r="30" spans="2:9" ht="12.75">
      <c r="B30" s="16" t="s">
        <v>46</v>
      </c>
      <c r="C30" s="6" t="s">
        <v>42</v>
      </c>
      <c r="D30" s="6"/>
      <c r="E30" s="6"/>
      <c r="F30" s="6"/>
      <c r="G30" s="6"/>
      <c r="I30" s="15">
        <v>0</v>
      </c>
    </row>
    <row r="31" spans="2:9" ht="12.75">
      <c r="B31" s="16"/>
      <c r="C31" s="6"/>
      <c r="D31" s="6"/>
      <c r="E31" s="6"/>
      <c r="F31" s="6"/>
      <c r="G31" s="6"/>
      <c r="I31" s="14"/>
    </row>
    <row r="32" spans="2:9" ht="12.75">
      <c r="B32" s="17" t="s">
        <v>47</v>
      </c>
      <c r="C32" s="6"/>
      <c r="D32" s="6"/>
      <c r="E32" s="6"/>
      <c r="F32" s="6"/>
      <c r="G32" s="6"/>
      <c r="I32" s="14"/>
    </row>
    <row r="33" spans="2:9" ht="12.75">
      <c r="B33" s="16" t="s">
        <v>48</v>
      </c>
      <c r="C33" s="6" t="s">
        <v>51</v>
      </c>
      <c r="D33" s="6"/>
      <c r="E33" s="6"/>
      <c r="F33" s="6"/>
      <c r="G33" s="6"/>
      <c r="I33" s="15">
        <v>4</v>
      </c>
    </row>
    <row r="34" spans="2:9" ht="12.75">
      <c r="B34" s="16" t="s">
        <v>49</v>
      </c>
      <c r="C34" s="6" t="s">
        <v>52</v>
      </c>
      <c r="D34" s="6"/>
      <c r="E34" s="6"/>
      <c r="F34" s="6"/>
      <c r="G34" s="6"/>
      <c r="I34" s="15">
        <v>0</v>
      </c>
    </row>
    <row r="35" spans="2:9" ht="12.75">
      <c r="B35" s="16" t="s">
        <v>50</v>
      </c>
      <c r="C35" s="6" t="s">
        <v>53</v>
      </c>
      <c r="D35" s="6"/>
      <c r="E35" s="6"/>
      <c r="F35" s="6"/>
      <c r="G35" s="6"/>
      <c r="I35" s="15">
        <v>0</v>
      </c>
    </row>
    <row r="36" spans="2:9" ht="12.75">
      <c r="B36" s="16" t="s">
        <v>56</v>
      </c>
      <c r="C36" s="6" t="s">
        <v>54</v>
      </c>
      <c r="D36" s="6"/>
      <c r="E36" s="6"/>
      <c r="F36" s="6"/>
      <c r="G36" s="6"/>
      <c r="I36" s="15">
        <v>0</v>
      </c>
    </row>
    <row r="37" spans="2:9" ht="12.75">
      <c r="B37" s="16" t="s">
        <v>57</v>
      </c>
      <c r="C37" s="6" t="s">
        <v>55</v>
      </c>
      <c r="D37" s="6"/>
      <c r="E37" s="6"/>
      <c r="F37" s="6"/>
      <c r="G37" s="6"/>
      <c r="I37" s="15">
        <v>0</v>
      </c>
    </row>
    <row r="38" spans="2:9" ht="12.75">
      <c r="B38" s="16" t="s">
        <v>58</v>
      </c>
      <c r="C38" s="6" t="s">
        <v>55</v>
      </c>
      <c r="D38" s="6"/>
      <c r="E38" s="6"/>
      <c r="F38" s="6"/>
      <c r="G38" s="6"/>
      <c r="I38" s="15">
        <v>0</v>
      </c>
    </row>
    <row r="39" spans="2:9" ht="12.75">
      <c r="B39" s="16"/>
      <c r="C39" s="6"/>
      <c r="D39" s="6"/>
      <c r="E39" s="6"/>
      <c r="F39" s="6"/>
      <c r="G39" s="6"/>
      <c r="I39" s="18"/>
    </row>
    <row r="40" spans="2:9" ht="12.75">
      <c r="B40" s="17" t="s">
        <v>74</v>
      </c>
      <c r="C40" s="6"/>
      <c r="D40" s="6"/>
      <c r="E40" s="6"/>
      <c r="F40" s="6"/>
      <c r="G40" s="6"/>
      <c r="I40" s="18"/>
    </row>
    <row r="41" spans="2:9" ht="12.75">
      <c r="B41" s="16" t="s">
        <v>75</v>
      </c>
      <c r="C41" s="6" t="s">
        <v>77</v>
      </c>
      <c r="D41" s="6"/>
      <c r="E41" s="6"/>
      <c r="F41" s="6"/>
      <c r="G41" s="6"/>
      <c r="I41" s="15">
        <v>2</v>
      </c>
    </row>
    <row r="42" spans="2:9" ht="12.75">
      <c r="B42" s="16" t="s">
        <v>81</v>
      </c>
      <c r="C42" s="6" t="s">
        <v>78</v>
      </c>
      <c r="D42" s="6"/>
      <c r="E42" s="6"/>
      <c r="F42" s="6"/>
      <c r="G42" s="6"/>
      <c r="I42" s="15">
        <v>4</v>
      </c>
    </row>
    <row r="43" spans="2:9" ht="12.75">
      <c r="B43" s="16" t="s">
        <v>82</v>
      </c>
      <c r="C43" s="6" t="s">
        <v>79</v>
      </c>
      <c r="D43" s="6"/>
      <c r="E43" s="6"/>
      <c r="F43" s="6"/>
      <c r="G43" s="6"/>
      <c r="I43" s="15">
        <v>1</v>
      </c>
    </row>
    <row r="44" spans="2:9" ht="12.75">
      <c r="B44" s="16" t="s">
        <v>83</v>
      </c>
      <c r="C44" s="6" t="s">
        <v>80</v>
      </c>
      <c r="D44" s="6"/>
      <c r="E44" s="6"/>
      <c r="F44" s="6"/>
      <c r="G44" s="6"/>
      <c r="I44" s="15">
        <v>2</v>
      </c>
    </row>
    <row r="45" spans="2:9" ht="12.75">
      <c r="B45" s="16" t="s">
        <v>85</v>
      </c>
      <c r="C45" s="6" t="s">
        <v>84</v>
      </c>
      <c r="D45" s="6"/>
      <c r="E45" s="6"/>
      <c r="F45" s="6"/>
      <c r="G45" s="6"/>
      <c r="I45" s="15">
        <v>0</v>
      </c>
    </row>
    <row r="46" spans="2:9" ht="12.75">
      <c r="B46" s="16"/>
      <c r="C46" s="6"/>
      <c r="D46" s="6"/>
      <c r="E46" s="6"/>
      <c r="F46" s="6"/>
      <c r="G46" s="6"/>
      <c r="I46" s="14"/>
    </row>
    <row r="47" spans="2:9" ht="12.75">
      <c r="B47" s="17" t="s">
        <v>59</v>
      </c>
      <c r="C47" s="6"/>
      <c r="D47" s="6"/>
      <c r="E47" s="6"/>
      <c r="F47" s="6"/>
      <c r="G47" s="6"/>
      <c r="I47" s="14"/>
    </row>
    <row r="48" spans="2:9" ht="12.75">
      <c r="B48" s="16" t="s">
        <v>60</v>
      </c>
      <c r="C48" s="6" t="s">
        <v>61</v>
      </c>
      <c r="D48" s="6"/>
      <c r="E48" s="6"/>
      <c r="F48" s="6"/>
      <c r="G48" s="6"/>
      <c r="I48" s="15">
        <v>0</v>
      </c>
    </row>
    <row r="49" spans="2:9" ht="12.75">
      <c r="B49" s="16" t="s">
        <v>65</v>
      </c>
      <c r="C49" s="6" t="s">
        <v>62</v>
      </c>
      <c r="D49" s="6"/>
      <c r="E49" s="6"/>
      <c r="F49" s="6"/>
      <c r="G49" s="6"/>
      <c r="I49" s="15">
        <v>0</v>
      </c>
    </row>
    <row r="50" spans="2:9" ht="12.75">
      <c r="B50" s="16" t="s">
        <v>66</v>
      </c>
      <c r="C50" s="6" t="s">
        <v>63</v>
      </c>
      <c r="D50" s="6"/>
      <c r="E50" s="6"/>
      <c r="F50" s="6"/>
      <c r="G50" s="6"/>
      <c r="I50" s="15">
        <v>0</v>
      </c>
    </row>
    <row r="51" spans="2:9" ht="12.75">
      <c r="B51" s="16" t="s">
        <v>67</v>
      </c>
      <c r="C51" s="6" t="s">
        <v>72</v>
      </c>
      <c r="D51" s="6"/>
      <c r="E51" s="6"/>
      <c r="F51" s="6"/>
      <c r="G51" s="6"/>
      <c r="I51" s="15">
        <v>1</v>
      </c>
    </row>
    <row r="52" spans="2:9" ht="12.75">
      <c r="B52" s="16" t="s">
        <v>68</v>
      </c>
      <c r="C52" s="6" t="s">
        <v>107</v>
      </c>
      <c r="D52" s="6"/>
      <c r="E52" s="6"/>
      <c r="F52" s="6"/>
      <c r="G52" s="6"/>
      <c r="I52" s="15">
        <v>4</v>
      </c>
    </row>
    <row r="53" spans="2:9" ht="12.75">
      <c r="B53" s="16" t="s">
        <v>69</v>
      </c>
      <c r="C53" s="6" t="s">
        <v>64</v>
      </c>
      <c r="D53" s="6"/>
      <c r="E53" s="6"/>
      <c r="F53" s="6"/>
      <c r="G53" s="6"/>
      <c r="I53" s="15">
        <v>0</v>
      </c>
    </row>
    <row r="54" spans="2:9" ht="12.75">
      <c r="B54" s="16" t="s">
        <v>71</v>
      </c>
      <c r="C54" s="6" t="s">
        <v>64</v>
      </c>
      <c r="I54" s="15">
        <v>0</v>
      </c>
    </row>
    <row r="55" spans="2:9" ht="12.75">
      <c r="B55" s="16" t="s">
        <v>76</v>
      </c>
      <c r="C55" s="6" t="s">
        <v>64</v>
      </c>
      <c r="I55" s="15">
        <v>0</v>
      </c>
    </row>
    <row r="56" ht="12.75">
      <c r="I56" s="14"/>
    </row>
    <row r="57" spans="6:9" ht="12.75">
      <c r="F57" t="s">
        <v>70</v>
      </c>
      <c r="I57" s="14">
        <f>SUM(I25:I55)</f>
        <v>27</v>
      </c>
    </row>
    <row r="58" ht="12.75">
      <c r="I58" s="14"/>
    </row>
    <row r="59" spans="2:9" ht="12.75">
      <c r="B59" s="6" t="s">
        <v>86</v>
      </c>
      <c r="C59" s="6"/>
      <c r="I59" s="14"/>
    </row>
    <row r="60" spans="2:9" ht="12.75">
      <c r="B60" s="6" t="s">
        <v>87</v>
      </c>
      <c r="C60" s="6"/>
      <c r="I60" s="14"/>
    </row>
    <row r="61" spans="2:9" ht="12.75">
      <c r="B61" s="6" t="s">
        <v>88</v>
      </c>
      <c r="C61" s="6"/>
      <c r="I61" s="14"/>
    </row>
    <row r="62" spans="2:9" ht="12.75">
      <c r="B62" s="6" t="s">
        <v>73</v>
      </c>
      <c r="C62" s="6"/>
      <c r="I62" s="14"/>
    </row>
    <row r="63" ht="12.75">
      <c r="I63" s="14"/>
    </row>
    <row r="64" spans="2:9" ht="12.75">
      <c r="B64" s="12" t="s">
        <v>90</v>
      </c>
      <c r="C64" s="13"/>
      <c r="D64" s="13"/>
      <c r="E64" s="13"/>
      <c r="F64" s="13"/>
      <c r="G64" s="13"/>
      <c r="H64" s="13"/>
      <c r="I64" s="19"/>
    </row>
    <row r="65" spans="3:9" ht="12.75">
      <c r="C65" s="6" t="s">
        <v>0</v>
      </c>
      <c r="I65" s="14"/>
    </row>
    <row r="67" ht="12.75">
      <c r="C67" s="2" t="s">
        <v>17</v>
      </c>
    </row>
    <row r="68" spans="2:7" ht="12.75">
      <c r="B68" s="22" t="s">
        <v>110</v>
      </c>
      <c r="C68" t="s">
        <v>108</v>
      </c>
      <c r="G68" s="23">
        <v>165000</v>
      </c>
    </row>
    <row r="69" spans="2:7" ht="12.75">
      <c r="B69" s="22" t="s">
        <v>110</v>
      </c>
      <c r="C69" t="s">
        <v>18</v>
      </c>
      <c r="G69" s="23">
        <v>650</v>
      </c>
    </row>
    <row r="70" spans="2:7" ht="12.75">
      <c r="B70" s="22" t="s">
        <v>110</v>
      </c>
      <c r="C70" t="s">
        <v>19</v>
      </c>
      <c r="G70" s="23">
        <v>4500</v>
      </c>
    </row>
    <row r="71" spans="2:7" ht="12.75">
      <c r="B71" s="22" t="s">
        <v>110</v>
      </c>
      <c r="C71" t="s">
        <v>20</v>
      </c>
      <c r="G71" s="23">
        <v>250</v>
      </c>
    </row>
    <row r="72" spans="2:7" ht="12.75">
      <c r="B72" s="22" t="s">
        <v>110</v>
      </c>
      <c r="C72" t="s">
        <v>21</v>
      </c>
      <c r="G72" s="23">
        <v>1280</v>
      </c>
    </row>
    <row r="73" spans="2:7" ht="12.75">
      <c r="B73" s="22" t="s">
        <v>110</v>
      </c>
      <c r="C73" t="s">
        <v>22</v>
      </c>
      <c r="G73" s="23">
        <v>11550</v>
      </c>
    </row>
    <row r="74" spans="3:7" ht="12.75">
      <c r="C74" s="13" t="s">
        <v>181</v>
      </c>
      <c r="D74" s="13"/>
      <c r="E74" s="13"/>
      <c r="F74" s="13"/>
      <c r="G74" s="24">
        <v>350</v>
      </c>
    </row>
    <row r="75" spans="3:7" ht="12.75">
      <c r="C75" t="s">
        <v>14</v>
      </c>
      <c r="G75" s="23">
        <f>SUM(G68:G74)</f>
        <v>183580</v>
      </c>
    </row>
    <row r="76" spans="3:7" ht="12.75">
      <c r="C76" t="s">
        <v>385</v>
      </c>
      <c r="G76" s="23">
        <v>-1500</v>
      </c>
    </row>
    <row r="77" spans="3:7" ht="12.75">
      <c r="C77" t="s">
        <v>15</v>
      </c>
      <c r="G77" s="23">
        <v>0</v>
      </c>
    </row>
    <row r="78" spans="3:7" ht="12.75">
      <c r="C78" s="13" t="s">
        <v>16</v>
      </c>
      <c r="D78" s="13"/>
      <c r="E78" s="13"/>
      <c r="F78" s="13"/>
      <c r="G78" s="24">
        <v>0</v>
      </c>
    </row>
    <row r="79" spans="3:7" ht="12.75">
      <c r="C79" s="11" t="s">
        <v>109</v>
      </c>
      <c r="D79" s="11"/>
      <c r="E79" s="11"/>
      <c r="F79" s="11"/>
      <c r="G79" s="25">
        <f>SUM(G75:G78)</f>
        <v>182080</v>
      </c>
    </row>
    <row r="80" spans="3:7" ht="12.75">
      <c r="C80" s="74" t="s">
        <v>429</v>
      </c>
      <c r="D80" s="28"/>
      <c r="E80" s="28"/>
      <c r="F80" s="28"/>
      <c r="G80" s="73" t="str">
        <f>IF(G79&gt;'Lead Worksheet'!$E$52,"Yes","No")</f>
        <v>Yes</v>
      </c>
    </row>
    <row r="81" ht="12.75">
      <c r="G81" s="23"/>
    </row>
    <row r="82" spans="2:7" ht="12.75">
      <c r="B82" s="22" t="s">
        <v>110</v>
      </c>
      <c r="C82" t="s">
        <v>121</v>
      </c>
      <c r="G82" s="23"/>
    </row>
    <row r="83" spans="2:7" ht="12.75">
      <c r="B83" s="22"/>
      <c r="C83" t="s">
        <v>287</v>
      </c>
      <c r="G83" s="23"/>
    </row>
    <row r="84" ht="12.75">
      <c r="C84" t="s">
        <v>288</v>
      </c>
    </row>
    <row r="86" ht="12.75">
      <c r="C86" s="2" t="s">
        <v>114</v>
      </c>
    </row>
    <row r="87" ht="12.75">
      <c r="C87" s="11" t="s">
        <v>128</v>
      </c>
    </row>
    <row r="88" spans="3:7" ht="12.75">
      <c r="C88" t="s">
        <v>112</v>
      </c>
      <c r="G88" s="23">
        <v>28900</v>
      </c>
    </row>
    <row r="89" spans="3:7" ht="12.75">
      <c r="C89" t="s">
        <v>111</v>
      </c>
      <c r="G89" s="23">
        <v>6200</v>
      </c>
    </row>
    <row r="90" spans="3:7" ht="12.75">
      <c r="C90" t="s">
        <v>113</v>
      </c>
      <c r="G90" s="23">
        <v>35000</v>
      </c>
    </row>
    <row r="91" spans="3:7" ht="12.75">
      <c r="C91" t="s">
        <v>115</v>
      </c>
      <c r="G91" s="23">
        <v>-4600</v>
      </c>
    </row>
    <row r="92" spans="3:7" ht="12.75">
      <c r="C92" t="s">
        <v>116</v>
      </c>
      <c r="G92" s="23">
        <v>-1500</v>
      </c>
    </row>
    <row r="93" spans="3:7" ht="12.75">
      <c r="C93" t="s">
        <v>117</v>
      </c>
      <c r="G93" s="23"/>
    </row>
    <row r="94" spans="4:7" ht="12.75">
      <c r="D94" t="s">
        <v>118</v>
      </c>
      <c r="F94" s="23">
        <f>SUM(capitalcostsA)</f>
        <v>183230</v>
      </c>
      <c r="G94" s="23"/>
    </row>
    <row r="95" spans="4:7" ht="12.75">
      <c r="D95" t="s">
        <v>119</v>
      </c>
      <c r="F95" s="23">
        <v>8000</v>
      </c>
      <c r="G95" s="23"/>
    </row>
    <row r="96" spans="4:7" ht="12.75">
      <c r="D96" t="s">
        <v>120</v>
      </c>
      <c r="F96" s="23">
        <v>8</v>
      </c>
      <c r="G96" s="23"/>
    </row>
    <row r="97" spans="4:7" ht="12.75">
      <c r="D97" t="s">
        <v>122</v>
      </c>
      <c r="F97">
        <v>1</v>
      </c>
      <c r="G97" s="23">
        <f>DDB(F94,F95,F96,F97)*-1</f>
        <v>-45807.5</v>
      </c>
    </row>
    <row r="98" spans="3:7" ht="12.75">
      <c r="C98" t="s">
        <v>123</v>
      </c>
      <c r="G98" s="23">
        <f>SUM(G88:G97)</f>
        <v>18192.5</v>
      </c>
    </row>
    <row r="99" spans="3:7" ht="12.75">
      <c r="C99" t="s">
        <v>124</v>
      </c>
      <c r="G99" s="23">
        <f>MAX('Lead Worksheet'!$E$50*G98,0)*-1</f>
        <v>-5002.9375</v>
      </c>
    </row>
    <row r="100" spans="3:7" ht="12.75">
      <c r="C100" t="s">
        <v>125</v>
      </c>
      <c r="G100" s="23">
        <f>SUM(G98:G99)</f>
        <v>13189.5625</v>
      </c>
    </row>
    <row r="101" spans="3:7" ht="12.75">
      <c r="C101" t="s">
        <v>126</v>
      </c>
      <c r="G101" s="23">
        <f>G97*-1</f>
        <v>45807.5</v>
      </c>
    </row>
    <row r="102" spans="3:7" ht="12.75">
      <c r="C102" t="s">
        <v>182</v>
      </c>
      <c r="G102" s="23">
        <v>-3500</v>
      </c>
    </row>
    <row r="103" spans="3:7" ht="12.75">
      <c r="C103" s="11" t="s">
        <v>127</v>
      </c>
      <c r="D103" s="11"/>
      <c r="E103" s="11"/>
      <c r="F103" s="11"/>
      <c r="G103" s="25">
        <f>SUM(G100:G102)</f>
        <v>55497.0625</v>
      </c>
    </row>
    <row r="104" ht="12.75">
      <c r="G104" s="23"/>
    </row>
    <row r="105" ht="12.75">
      <c r="C105" s="11" t="s">
        <v>129</v>
      </c>
    </row>
    <row r="106" spans="3:7" ht="12.75">
      <c r="C106" t="s">
        <v>112</v>
      </c>
      <c r="G106" s="23">
        <v>32100</v>
      </c>
    </row>
    <row r="107" spans="3:7" ht="12.75">
      <c r="C107" t="s">
        <v>111</v>
      </c>
      <c r="G107" s="23">
        <v>6900</v>
      </c>
    </row>
    <row r="108" spans="3:7" ht="12.75">
      <c r="C108" t="s">
        <v>113</v>
      </c>
      <c r="G108" s="23">
        <v>35000</v>
      </c>
    </row>
    <row r="109" spans="3:7" ht="12.75">
      <c r="C109" t="s">
        <v>115</v>
      </c>
      <c r="G109" s="23">
        <v>-5000</v>
      </c>
    </row>
    <row r="110" spans="3:7" ht="12.75">
      <c r="C110" t="s">
        <v>116</v>
      </c>
      <c r="G110" s="23">
        <v>-1800</v>
      </c>
    </row>
    <row r="111" spans="3:7" ht="12.75">
      <c r="C111" t="s">
        <v>117</v>
      </c>
      <c r="G111" s="23"/>
    </row>
    <row r="112" spans="4:7" ht="12.75">
      <c r="D112" t="s">
        <v>118</v>
      </c>
      <c r="F112" s="23">
        <f>SUM(capitalcostsA)</f>
        <v>183230</v>
      </c>
      <c r="G112" s="23"/>
    </row>
    <row r="113" spans="4:7" ht="12.75">
      <c r="D113" t="s">
        <v>119</v>
      </c>
      <c r="F113" s="23">
        <v>8000</v>
      </c>
      <c r="G113" s="23"/>
    </row>
    <row r="114" spans="4:7" ht="12.75">
      <c r="D114" t="s">
        <v>120</v>
      </c>
      <c r="F114" s="23">
        <v>8</v>
      </c>
      <c r="G114" s="23"/>
    </row>
    <row r="115" spans="4:7" ht="12.75">
      <c r="D115" t="s">
        <v>122</v>
      </c>
      <c r="F115">
        <v>2</v>
      </c>
      <c r="G115" s="23">
        <f>DDB(F112,F113,F114,F115)*-1</f>
        <v>-34355.625</v>
      </c>
    </row>
    <row r="116" spans="3:7" ht="12.75">
      <c r="C116" t="s">
        <v>131</v>
      </c>
      <c r="G116" s="23">
        <f>SUM(G106:G115)</f>
        <v>32844.375</v>
      </c>
    </row>
    <row r="117" spans="3:7" ht="12.75">
      <c r="C117" t="s">
        <v>124</v>
      </c>
      <c r="G117" s="23">
        <f>MAX('Lead Worksheet'!$E$50*G116,0)*-1</f>
        <v>-9032.203125</v>
      </c>
    </row>
    <row r="118" spans="3:7" ht="12.75">
      <c r="C118" t="s">
        <v>130</v>
      </c>
      <c r="G118" s="23">
        <f>SUM(G116:G117)</f>
        <v>23812.171875</v>
      </c>
    </row>
    <row r="119" spans="3:7" ht="12.75">
      <c r="C119" t="s">
        <v>126</v>
      </c>
      <c r="G119" s="23">
        <f>G115*-1</f>
        <v>34355.625</v>
      </c>
    </row>
    <row r="120" spans="3:7" ht="12.75">
      <c r="C120" t="s">
        <v>182</v>
      </c>
      <c r="G120" s="23">
        <v>-650</v>
      </c>
    </row>
    <row r="121" spans="3:7" ht="12.75">
      <c r="C121" s="11" t="s">
        <v>158</v>
      </c>
      <c r="D121" s="11"/>
      <c r="E121" s="11"/>
      <c r="F121" s="11"/>
      <c r="G121" s="25">
        <f>SUM(G118:G120)</f>
        <v>57517.796875</v>
      </c>
    </row>
    <row r="123" ht="12.75">
      <c r="C123" s="11" t="s">
        <v>132</v>
      </c>
    </row>
    <row r="124" spans="3:7" ht="12.75">
      <c r="C124" t="s">
        <v>112</v>
      </c>
      <c r="G124" s="23">
        <v>34800</v>
      </c>
    </row>
    <row r="125" spans="3:7" ht="12.75">
      <c r="C125" t="s">
        <v>111</v>
      </c>
      <c r="G125" s="23">
        <v>7100</v>
      </c>
    </row>
    <row r="126" spans="3:7" ht="12.75">
      <c r="C126" t="s">
        <v>113</v>
      </c>
      <c r="G126" s="23">
        <v>35000</v>
      </c>
    </row>
    <row r="127" spans="3:7" ht="12.75">
      <c r="C127" t="s">
        <v>115</v>
      </c>
      <c r="G127" s="23">
        <v>-5000</v>
      </c>
    </row>
    <row r="128" spans="3:7" ht="12.75">
      <c r="C128" t="s">
        <v>116</v>
      </c>
      <c r="G128" s="23">
        <v>-2000</v>
      </c>
    </row>
    <row r="129" spans="3:7" ht="12.75">
      <c r="C129" t="s">
        <v>117</v>
      </c>
      <c r="G129" s="23"/>
    </row>
    <row r="130" spans="4:7" ht="12.75">
      <c r="D130" t="s">
        <v>118</v>
      </c>
      <c r="F130" s="23">
        <f>SUM(capitalcostsA)</f>
        <v>183230</v>
      </c>
      <c r="G130" s="23"/>
    </row>
    <row r="131" spans="4:7" ht="12.75">
      <c r="D131" t="s">
        <v>119</v>
      </c>
      <c r="F131" s="23">
        <v>8000</v>
      </c>
      <c r="G131" s="23"/>
    </row>
    <row r="132" spans="4:7" ht="12.75">
      <c r="D132" t="s">
        <v>120</v>
      </c>
      <c r="F132" s="23">
        <v>8</v>
      </c>
      <c r="G132" s="23"/>
    </row>
    <row r="133" spans="4:7" ht="12.75">
      <c r="D133" t="s">
        <v>122</v>
      </c>
      <c r="F133">
        <v>3</v>
      </c>
      <c r="G133" s="23">
        <f>DDB(F130,F131,F132,F133)*-1</f>
        <v>-25766.71875</v>
      </c>
    </row>
    <row r="134" spans="3:7" ht="12.75">
      <c r="C134" t="s">
        <v>133</v>
      </c>
      <c r="G134" s="23">
        <f>SUM(G124:G133)</f>
        <v>44133.28125</v>
      </c>
    </row>
    <row r="135" spans="3:7" ht="12.75">
      <c r="C135" t="s">
        <v>124</v>
      </c>
      <c r="G135" s="23">
        <f>MAX('Lead Worksheet'!$E$50*G134,0)*-1</f>
        <v>-12136.652343750002</v>
      </c>
    </row>
    <row r="136" spans="3:7" ht="12.75">
      <c r="C136" t="s">
        <v>134</v>
      </c>
      <c r="G136" s="23">
        <f>SUM(G134:G135)</f>
        <v>31996.62890625</v>
      </c>
    </row>
    <row r="137" spans="3:7" ht="12.75">
      <c r="C137" t="s">
        <v>126</v>
      </c>
      <c r="G137" s="23">
        <f>G133*-1</f>
        <v>25766.71875</v>
      </c>
    </row>
    <row r="138" spans="3:7" ht="12.75">
      <c r="C138" t="s">
        <v>182</v>
      </c>
      <c r="G138" s="23">
        <v>-550</v>
      </c>
    </row>
    <row r="139" spans="3:7" ht="12.75">
      <c r="C139" s="11" t="s">
        <v>135</v>
      </c>
      <c r="D139" s="11"/>
      <c r="E139" s="11"/>
      <c r="F139" s="11"/>
      <c r="G139" s="25">
        <f>SUM(G136:G138)</f>
        <v>57213.34765625</v>
      </c>
    </row>
    <row r="141" ht="12.75">
      <c r="C141" s="11" t="s">
        <v>139</v>
      </c>
    </row>
    <row r="142" spans="3:7" ht="12.75">
      <c r="C142" t="s">
        <v>112</v>
      </c>
      <c r="G142" s="23">
        <v>37200</v>
      </c>
    </row>
    <row r="143" spans="3:7" ht="12.75">
      <c r="C143" t="s">
        <v>111</v>
      </c>
      <c r="G143" s="23">
        <v>7900</v>
      </c>
    </row>
    <row r="144" spans="3:7" ht="12.75">
      <c r="C144" t="s">
        <v>113</v>
      </c>
      <c r="G144" s="23">
        <v>0</v>
      </c>
    </row>
    <row r="145" spans="3:7" ht="12.75">
      <c r="C145" t="s">
        <v>115</v>
      </c>
      <c r="G145" s="23">
        <v>-5200</v>
      </c>
    </row>
    <row r="146" spans="3:7" ht="12.75">
      <c r="C146" t="s">
        <v>116</v>
      </c>
      <c r="G146" s="23">
        <v>-2100</v>
      </c>
    </row>
    <row r="147" spans="3:7" ht="12.75">
      <c r="C147" t="s">
        <v>117</v>
      </c>
      <c r="G147" s="23"/>
    </row>
    <row r="148" spans="4:7" ht="12.75">
      <c r="D148" t="s">
        <v>118</v>
      </c>
      <c r="F148" s="23">
        <f>SUM(capitalcostsA)</f>
        <v>183230</v>
      </c>
      <c r="G148" s="23"/>
    </row>
    <row r="149" spans="4:7" ht="12.75">
      <c r="D149" t="s">
        <v>119</v>
      </c>
      <c r="F149" s="23">
        <v>8000</v>
      </c>
      <c r="G149" s="23"/>
    </row>
    <row r="150" spans="4:7" ht="12.75">
      <c r="D150" t="s">
        <v>120</v>
      </c>
      <c r="F150" s="23">
        <v>8</v>
      </c>
      <c r="G150" s="23"/>
    </row>
    <row r="151" spans="4:7" ht="12.75">
      <c r="D151" t="s">
        <v>122</v>
      </c>
      <c r="F151">
        <v>4</v>
      </c>
      <c r="G151" s="23">
        <f>DDB(F148,F149,F150,F151)*-1</f>
        <v>-19325.0390625</v>
      </c>
    </row>
    <row r="152" spans="3:7" ht="12.75">
      <c r="C152" t="s">
        <v>140</v>
      </c>
      <c r="G152" s="23">
        <f>SUM(G142:G151)</f>
        <v>18474.9609375</v>
      </c>
    </row>
    <row r="153" spans="3:7" ht="12.75">
      <c r="C153" t="s">
        <v>124</v>
      </c>
      <c r="G153" s="23">
        <f>MAX('Lead Worksheet'!$E$50*G152,0)*-1</f>
        <v>-5080.6142578125</v>
      </c>
    </row>
    <row r="154" spans="3:7" ht="12.75">
      <c r="C154" t="s">
        <v>141</v>
      </c>
      <c r="G154" s="23">
        <f>SUM(G152:G153)</f>
        <v>13394.3466796875</v>
      </c>
    </row>
    <row r="155" spans="3:7" ht="12.75">
      <c r="C155" t="s">
        <v>126</v>
      </c>
      <c r="G155" s="23">
        <f>G151*-1</f>
        <v>19325.0390625</v>
      </c>
    </row>
    <row r="156" spans="3:7" ht="12.75">
      <c r="C156" t="s">
        <v>182</v>
      </c>
      <c r="G156" s="23">
        <v>-250</v>
      </c>
    </row>
    <row r="157" spans="3:7" ht="12.75">
      <c r="C157" s="11" t="s">
        <v>142</v>
      </c>
      <c r="D157" s="11"/>
      <c r="E157" s="11"/>
      <c r="F157" s="11"/>
      <c r="G157" s="25">
        <f>SUM(G154:G156)</f>
        <v>32469.3857421875</v>
      </c>
    </row>
    <row r="159" ht="12.75">
      <c r="C159" s="11" t="s">
        <v>136</v>
      </c>
    </row>
    <row r="160" spans="3:7" ht="12.75">
      <c r="C160" t="s">
        <v>112</v>
      </c>
      <c r="G160" s="23">
        <v>40900</v>
      </c>
    </row>
    <row r="161" spans="3:7" ht="12.75">
      <c r="C161" t="s">
        <v>111</v>
      </c>
      <c r="G161" s="23">
        <v>8900</v>
      </c>
    </row>
    <row r="162" spans="3:7" ht="12.75">
      <c r="C162" t="s">
        <v>113</v>
      </c>
      <c r="G162" s="23">
        <v>0</v>
      </c>
    </row>
    <row r="163" spans="3:7" ht="12.75">
      <c r="C163" t="s">
        <v>115</v>
      </c>
      <c r="G163" s="23">
        <v>-5300</v>
      </c>
    </row>
    <row r="164" spans="3:7" ht="12.75">
      <c r="C164" t="s">
        <v>116</v>
      </c>
      <c r="G164" s="23">
        <v>-2200</v>
      </c>
    </row>
    <row r="165" spans="3:7" ht="12.75">
      <c r="C165" t="s">
        <v>117</v>
      </c>
      <c r="G165" s="23"/>
    </row>
    <row r="166" spans="4:7" ht="12.75">
      <c r="D166" t="s">
        <v>118</v>
      </c>
      <c r="F166" s="23">
        <f>SUM(capitalcostsA)</f>
        <v>183230</v>
      </c>
      <c r="G166" s="23"/>
    </row>
    <row r="167" spans="4:7" ht="12.75">
      <c r="D167" t="s">
        <v>119</v>
      </c>
      <c r="F167" s="23">
        <v>8000</v>
      </c>
      <c r="G167" s="23"/>
    </row>
    <row r="168" spans="4:7" ht="12.75">
      <c r="D168" t="s">
        <v>120</v>
      </c>
      <c r="F168" s="23">
        <v>8</v>
      </c>
      <c r="G168" s="23"/>
    </row>
    <row r="169" spans="4:7" ht="12.75">
      <c r="D169" t="s">
        <v>122</v>
      </c>
      <c r="F169">
        <v>5</v>
      </c>
      <c r="G169" s="23">
        <f>DDB(F166,F167,F168,F169)*-1</f>
        <v>-14493.779296875</v>
      </c>
    </row>
    <row r="170" spans="3:7" ht="12.75">
      <c r="C170" t="s">
        <v>137</v>
      </c>
      <c r="G170" s="23">
        <f>SUM(G160:G169)</f>
        <v>27806.220703125</v>
      </c>
    </row>
    <row r="171" spans="3:7" ht="12.75">
      <c r="C171" t="s">
        <v>124</v>
      </c>
      <c r="G171" s="23">
        <f>MAX('Lead Worksheet'!$E$50*G170,0)*-1</f>
        <v>-7646.710693359376</v>
      </c>
    </row>
    <row r="172" spans="3:7" ht="12.75">
      <c r="C172" t="s">
        <v>138</v>
      </c>
      <c r="G172" s="23">
        <f>SUM(G170:G171)</f>
        <v>20159.510009765625</v>
      </c>
    </row>
    <row r="173" spans="3:7" ht="12.75">
      <c r="C173" t="s">
        <v>126</v>
      </c>
      <c r="G173" s="23">
        <f>G169*-1</f>
        <v>14493.779296875</v>
      </c>
    </row>
    <row r="174" spans="3:7" ht="12.75">
      <c r="C174" t="s">
        <v>182</v>
      </c>
      <c r="G174" s="23">
        <v>-350</v>
      </c>
    </row>
    <row r="175" spans="3:7" ht="12.75">
      <c r="C175" s="11" t="s">
        <v>143</v>
      </c>
      <c r="D175" s="11"/>
      <c r="E175" s="11"/>
      <c r="F175" s="11"/>
      <c r="G175" s="25">
        <f>SUM(G172:G174)</f>
        <v>34303.289306640625</v>
      </c>
    </row>
    <row r="177" ht="12.75">
      <c r="C177" s="11" t="s">
        <v>144</v>
      </c>
    </row>
    <row r="178" spans="3:7" ht="12.75">
      <c r="C178" t="s">
        <v>112</v>
      </c>
      <c r="G178" s="23">
        <v>44200</v>
      </c>
    </row>
    <row r="179" spans="3:7" ht="12.75">
      <c r="C179" t="s">
        <v>111</v>
      </c>
      <c r="G179" s="23">
        <v>9700</v>
      </c>
    </row>
    <row r="180" spans="3:7" ht="12.75">
      <c r="C180" t="s">
        <v>113</v>
      </c>
      <c r="G180" s="23">
        <v>0</v>
      </c>
    </row>
    <row r="181" spans="3:7" ht="12.75">
      <c r="C181" t="s">
        <v>115</v>
      </c>
      <c r="G181" s="23">
        <v>-5400</v>
      </c>
    </row>
    <row r="182" spans="3:7" ht="12.75">
      <c r="C182" t="s">
        <v>116</v>
      </c>
      <c r="G182" s="23">
        <v>-2300</v>
      </c>
    </row>
    <row r="183" spans="3:7" ht="12.75">
      <c r="C183" t="s">
        <v>117</v>
      </c>
      <c r="G183" s="23"/>
    </row>
    <row r="184" spans="4:7" ht="12.75">
      <c r="D184" t="s">
        <v>118</v>
      </c>
      <c r="F184" s="23">
        <f>SUM(capitalcostsA)</f>
        <v>183230</v>
      </c>
      <c r="G184" s="23"/>
    </row>
    <row r="185" spans="4:7" ht="12.75">
      <c r="D185" t="s">
        <v>119</v>
      </c>
      <c r="F185" s="23">
        <v>8000</v>
      </c>
      <c r="G185" s="23"/>
    </row>
    <row r="186" spans="4:7" ht="12.75">
      <c r="D186" t="s">
        <v>120</v>
      </c>
      <c r="F186" s="23">
        <v>8</v>
      </c>
      <c r="G186" s="23"/>
    </row>
    <row r="187" spans="4:7" ht="12.75">
      <c r="D187" t="s">
        <v>122</v>
      </c>
      <c r="F187">
        <v>6</v>
      </c>
      <c r="G187" s="23">
        <f>DDB(F184,F185,F186,F187)*-1</f>
        <v>-10870.33447265625</v>
      </c>
    </row>
    <row r="188" spans="3:7" ht="12.75">
      <c r="C188" t="s">
        <v>145</v>
      </c>
      <c r="G188" s="23">
        <f>SUM(G178:G187)</f>
        <v>35329.66552734375</v>
      </c>
    </row>
    <row r="189" spans="3:7" ht="12.75">
      <c r="C189" t="s">
        <v>124</v>
      </c>
      <c r="G189" s="23">
        <f>MAX('Lead Worksheet'!$E$50*G188,0)*-1</f>
        <v>-9715.658020019531</v>
      </c>
    </row>
    <row r="190" spans="3:7" ht="12.75">
      <c r="C190" t="s">
        <v>146</v>
      </c>
      <c r="G190" s="23">
        <f>SUM(G188:G189)</f>
        <v>25614.00750732422</v>
      </c>
    </row>
    <row r="191" spans="3:7" ht="12.75">
      <c r="C191" t="s">
        <v>126</v>
      </c>
      <c r="G191" s="23">
        <f>G187*-1</f>
        <v>10870.33447265625</v>
      </c>
    </row>
    <row r="192" spans="3:7" ht="12.75">
      <c r="C192" t="s">
        <v>182</v>
      </c>
      <c r="G192" s="23">
        <v>-150</v>
      </c>
    </row>
    <row r="193" spans="3:7" ht="12.75">
      <c r="C193" s="11" t="s">
        <v>147</v>
      </c>
      <c r="D193" s="11"/>
      <c r="E193" s="11"/>
      <c r="F193" s="11"/>
      <c r="G193" s="25">
        <f>SUM(G190:G192)</f>
        <v>36334.34197998047</v>
      </c>
    </row>
    <row r="195" ht="12.75">
      <c r="C195" s="11" t="s">
        <v>152</v>
      </c>
    </row>
    <row r="196" spans="3:7" ht="12.75">
      <c r="C196" t="s">
        <v>112</v>
      </c>
      <c r="G196" s="23">
        <v>50100</v>
      </c>
    </row>
    <row r="197" spans="3:7" ht="12.75">
      <c r="C197" t="s">
        <v>111</v>
      </c>
      <c r="G197" s="23">
        <v>10200</v>
      </c>
    </row>
    <row r="198" spans="3:7" ht="12.75">
      <c r="C198" t="s">
        <v>113</v>
      </c>
      <c r="G198" s="23">
        <v>0</v>
      </c>
    </row>
    <row r="199" spans="3:7" ht="12.75">
      <c r="C199" t="s">
        <v>115</v>
      </c>
      <c r="G199" s="23">
        <v>-5500</v>
      </c>
    </row>
    <row r="200" spans="3:7" ht="12.75">
      <c r="C200" t="s">
        <v>116</v>
      </c>
      <c r="G200" s="23">
        <v>-2400</v>
      </c>
    </row>
    <row r="201" spans="3:7" ht="12.75">
      <c r="C201" t="s">
        <v>117</v>
      </c>
      <c r="G201" s="23"/>
    </row>
    <row r="202" spans="4:7" ht="12.75">
      <c r="D202" t="s">
        <v>118</v>
      </c>
      <c r="F202" s="23">
        <f>SUM(capitalcostsA)</f>
        <v>183230</v>
      </c>
      <c r="G202" s="23"/>
    </row>
    <row r="203" spans="4:7" ht="12.75">
      <c r="D203" t="s">
        <v>119</v>
      </c>
      <c r="F203" s="23">
        <v>8000</v>
      </c>
      <c r="G203" s="23"/>
    </row>
    <row r="204" spans="4:7" ht="12.75">
      <c r="D204" t="s">
        <v>120</v>
      </c>
      <c r="F204" s="23">
        <v>8</v>
      </c>
      <c r="G204" s="23"/>
    </row>
    <row r="205" spans="4:7" ht="12.75">
      <c r="D205" t="s">
        <v>122</v>
      </c>
      <c r="F205">
        <v>7</v>
      </c>
      <c r="G205" s="23">
        <f>DDB(F202,F203,F204,F205)*-1</f>
        <v>-8152.7508544921875</v>
      </c>
    </row>
    <row r="206" spans="3:7" ht="12.75">
      <c r="C206" t="s">
        <v>153</v>
      </c>
      <c r="G206" s="23">
        <f>SUM(G196:G205)</f>
        <v>44247.24914550781</v>
      </c>
    </row>
    <row r="207" spans="3:7" ht="12.75">
      <c r="C207" t="s">
        <v>124</v>
      </c>
      <c r="G207" s="23">
        <f>MAX('Lead Worksheet'!$E$50*G206,0)*-1</f>
        <v>-12167.99351501465</v>
      </c>
    </row>
    <row r="208" spans="3:7" ht="12.75">
      <c r="C208" t="s">
        <v>154</v>
      </c>
      <c r="G208" s="23">
        <f>SUM(G206:G207)</f>
        <v>32079.255630493164</v>
      </c>
    </row>
    <row r="209" spans="3:7" ht="12.75">
      <c r="C209" t="s">
        <v>126</v>
      </c>
      <c r="G209" s="23">
        <f>G205*-1</f>
        <v>8152.7508544921875</v>
      </c>
    </row>
    <row r="210" spans="3:7" ht="12.75">
      <c r="C210" t="s">
        <v>182</v>
      </c>
      <c r="G210" s="23">
        <v>-150</v>
      </c>
    </row>
    <row r="211" spans="3:7" ht="12.75">
      <c r="C211" s="11" t="s">
        <v>155</v>
      </c>
      <c r="D211" s="11"/>
      <c r="E211" s="11"/>
      <c r="F211" s="11"/>
      <c r="G211" s="25">
        <f>SUM(G208:G210)</f>
        <v>40082.00648498535</v>
      </c>
    </row>
    <row r="213" ht="12.75">
      <c r="C213" s="11" t="s">
        <v>148</v>
      </c>
    </row>
    <row r="214" spans="3:7" ht="12.75">
      <c r="C214" t="s">
        <v>112</v>
      </c>
      <c r="G214" s="23">
        <v>55500</v>
      </c>
    </row>
    <row r="215" spans="3:7" ht="12.75">
      <c r="C215" t="s">
        <v>111</v>
      </c>
      <c r="G215" s="23">
        <v>11000</v>
      </c>
    </row>
    <row r="216" spans="3:7" ht="12.75">
      <c r="C216" t="s">
        <v>156</v>
      </c>
      <c r="G216" s="23">
        <v>-25000</v>
      </c>
    </row>
    <row r="217" spans="3:7" ht="12.75">
      <c r="C217" t="s">
        <v>115</v>
      </c>
      <c r="G217" s="23">
        <v>-4600</v>
      </c>
    </row>
    <row r="218" spans="3:7" ht="12.75">
      <c r="C218" t="s">
        <v>116</v>
      </c>
      <c r="G218" s="23">
        <v>-2600</v>
      </c>
    </row>
    <row r="219" spans="3:7" ht="12.75">
      <c r="C219" t="s">
        <v>117</v>
      </c>
      <c r="G219" s="23"/>
    </row>
    <row r="220" spans="4:7" ht="12.75">
      <c r="D220" t="s">
        <v>118</v>
      </c>
      <c r="F220" s="23">
        <f>SUM(capitalcostsA)</f>
        <v>183230</v>
      </c>
      <c r="G220" s="23"/>
    </row>
    <row r="221" spans="4:7" ht="12.75">
      <c r="D221" t="s">
        <v>119</v>
      </c>
      <c r="F221" s="23">
        <v>8000</v>
      </c>
      <c r="G221" s="23"/>
    </row>
    <row r="222" spans="4:7" ht="12.75">
      <c r="D222" t="s">
        <v>120</v>
      </c>
      <c r="F222" s="23">
        <v>8</v>
      </c>
      <c r="G222" s="23"/>
    </row>
    <row r="223" spans="4:7" ht="12.75">
      <c r="D223" t="s">
        <v>122</v>
      </c>
      <c r="F223">
        <v>8</v>
      </c>
      <c r="G223" s="23">
        <f>DDB(F220,F221,F222,F223)*-1</f>
        <v>-6114.563140869141</v>
      </c>
    </row>
    <row r="224" spans="3:7" ht="12.75">
      <c r="C224" t="s">
        <v>151</v>
      </c>
      <c r="G224" s="23">
        <f>SUM(G214:G223)</f>
        <v>28185.43685913086</v>
      </c>
    </row>
    <row r="225" spans="3:7" ht="12.75">
      <c r="C225" t="s">
        <v>124</v>
      </c>
      <c r="G225" s="23">
        <f>MAX('Lead Worksheet'!$E$50*G224,0)*-1</f>
        <v>-7750.995136260987</v>
      </c>
    </row>
    <row r="226" spans="3:7" ht="12.75">
      <c r="C226" t="s">
        <v>150</v>
      </c>
      <c r="G226" s="23">
        <f>SUM(G224:G225)</f>
        <v>20434.441722869873</v>
      </c>
    </row>
    <row r="227" spans="3:7" ht="12.75">
      <c r="C227" t="s">
        <v>126</v>
      </c>
      <c r="G227" s="23">
        <f>G223*-1</f>
        <v>6114.563140869141</v>
      </c>
    </row>
    <row r="228" spans="3:7" ht="12.75">
      <c r="C228" t="s">
        <v>182</v>
      </c>
      <c r="G228" s="23">
        <v>-50</v>
      </c>
    </row>
    <row r="229" spans="3:7" ht="12.75">
      <c r="C229" s="11" t="s">
        <v>149</v>
      </c>
      <c r="D229" s="11"/>
      <c r="E229" s="11"/>
      <c r="F229" s="11"/>
      <c r="G229" s="25">
        <f>SUM(G226:G228)</f>
        <v>26499.004863739014</v>
      </c>
    </row>
    <row r="230" spans="3:7" ht="12.75">
      <c r="C230" s="11"/>
      <c r="D230" s="11"/>
      <c r="E230" s="11"/>
      <c r="F230" s="11"/>
      <c r="G230" s="25"/>
    </row>
    <row r="231" spans="3:7" ht="12.75">
      <c r="C231" s="11" t="s">
        <v>178</v>
      </c>
      <c r="D231" s="11"/>
      <c r="E231" s="11"/>
      <c r="F231" s="11"/>
      <c r="G231" s="25"/>
    </row>
    <row r="232" spans="3:7" ht="12.75">
      <c r="C232" s="28" t="s">
        <v>179</v>
      </c>
      <c r="D232" s="28"/>
      <c r="E232" s="28"/>
      <c r="F232" s="11"/>
      <c r="G232" s="29">
        <v>5000</v>
      </c>
    </row>
    <row r="233" spans="3:7" ht="12.75">
      <c r="C233" s="28" t="s">
        <v>180</v>
      </c>
      <c r="D233" s="28"/>
      <c r="E233" s="28"/>
      <c r="F233" s="11"/>
      <c r="G233" s="29">
        <v>2500</v>
      </c>
    </row>
    <row r="234" spans="3:7" ht="12.75">
      <c r="C234" s="28"/>
      <c r="D234" s="28"/>
      <c r="E234" s="28" t="s">
        <v>184</v>
      </c>
      <c r="F234" s="11"/>
      <c r="G234" s="29">
        <f>SUM(G232:G233)</f>
        <v>7500</v>
      </c>
    </row>
    <row r="235" spans="3:7" ht="12.75">
      <c r="C235" s="28"/>
      <c r="D235" s="28"/>
      <c r="E235" s="28"/>
      <c r="F235" s="11"/>
      <c r="G235" s="29"/>
    </row>
    <row r="236" spans="3:7" ht="12.75">
      <c r="C236" s="28" t="s">
        <v>177</v>
      </c>
      <c r="D236" s="11"/>
      <c r="E236" s="11"/>
      <c r="F236" s="11"/>
      <c r="G236" s="25"/>
    </row>
    <row r="238" spans="2:9" ht="12.75">
      <c r="B238" s="12" t="s">
        <v>89</v>
      </c>
      <c r="C238" s="13"/>
      <c r="D238" s="13"/>
      <c r="E238" s="13"/>
      <c r="F238" s="13"/>
      <c r="G238" s="13"/>
      <c r="H238" s="13"/>
      <c r="I238" s="13"/>
    </row>
    <row r="239" spans="3:7" ht="12.75">
      <c r="C239" t="s">
        <v>0</v>
      </c>
      <c r="G239" t="s">
        <v>0</v>
      </c>
    </row>
    <row r="240" ht="12.75">
      <c r="B240" t="s">
        <v>157</v>
      </c>
    </row>
    <row r="241" spans="4:6" ht="12.75">
      <c r="D241" s="7" t="s">
        <v>205</v>
      </c>
      <c r="E241" s="7" t="s">
        <v>161</v>
      </c>
      <c r="F241" s="7" t="s">
        <v>166</v>
      </c>
    </row>
    <row r="242" spans="3:6" ht="12.75">
      <c r="C242" s="7" t="s">
        <v>25</v>
      </c>
      <c r="D242" s="7" t="s">
        <v>262</v>
      </c>
      <c r="E242" s="7" t="s">
        <v>162</v>
      </c>
      <c r="F242" s="7" t="s">
        <v>165</v>
      </c>
    </row>
    <row r="243" spans="3:5" ht="12.75">
      <c r="C243" s="7">
        <v>0</v>
      </c>
      <c r="D243" s="23">
        <f>G79*-1</f>
        <v>-182080</v>
      </c>
      <c r="E243" s="23">
        <f>D243</f>
        <v>-182080</v>
      </c>
    </row>
    <row r="244" spans="3:7" ht="12.75">
      <c r="C244" s="7">
        <v>1</v>
      </c>
      <c r="D244" s="23">
        <f>G103</f>
        <v>55497.0625</v>
      </c>
      <c r="E244" s="23">
        <f aca="true" t="shared" si="0" ref="E244:E252">D244/(1+$F$255)^C244</f>
        <v>49997.3536036036</v>
      </c>
      <c r="F244" s="23">
        <f>SUM($E$243:E244)</f>
        <v>-132082.6463963964</v>
      </c>
      <c r="G244" s="23" t="s">
        <v>0</v>
      </c>
    </row>
    <row r="245" spans="3:7" ht="12.75">
      <c r="C245" s="7">
        <v>2</v>
      </c>
      <c r="D245" s="23">
        <f>G121</f>
        <v>57517.796875</v>
      </c>
      <c r="E245" s="23">
        <f t="shared" si="0"/>
        <v>46682.73425452479</v>
      </c>
      <c r="F245" s="23">
        <f>SUM($E$243:E245)</f>
        <v>-85399.91214187161</v>
      </c>
      <c r="G245" t="s">
        <v>0</v>
      </c>
    </row>
    <row r="246" spans="3:7" ht="12.75">
      <c r="C246" s="7">
        <v>3</v>
      </c>
      <c r="D246" s="23">
        <f>G139</f>
        <v>57213.34765625</v>
      </c>
      <c r="E246" s="23">
        <f t="shared" si="0"/>
        <v>41833.90670162492</v>
      </c>
      <c r="F246" s="23">
        <f>SUM($E$243:E246)</f>
        <v>-43566.00544024669</v>
      </c>
      <c r="G246" t="s">
        <v>0</v>
      </c>
    </row>
    <row r="247" spans="3:7" ht="12.75">
      <c r="C247" s="7">
        <v>4</v>
      </c>
      <c r="D247" s="23">
        <f>G157</f>
        <v>32469.3857421875</v>
      </c>
      <c r="E247" s="23">
        <f t="shared" si="0"/>
        <v>21388.59009984095</v>
      </c>
      <c r="F247" s="23">
        <f>SUM($E$243:E247)</f>
        <v>-22177.415340405743</v>
      </c>
      <c r="G247" t="s">
        <v>0</v>
      </c>
    </row>
    <row r="248" spans="3:6" ht="12.75">
      <c r="C248" s="7">
        <v>5</v>
      </c>
      <c r="D248" s="23">
        <f>G175</f>
        <v>34303.289306640625</v>
      </c>
      <c r="E248" s="23">
        <f t="shared" si="0"/>
        <v>20357.332595802833</v>
      </c>
      <c r="F248" s="23">
        <f>SUM($E$243:E248)</f>
        <v>-1820.0827446029107</v>
      </c>
    </row>
    <row r="249" spans="3:7" ht="12.75">
      <c r="C249" s="7">
        <v>6</v>
      </c>
      <c r="D249" s="23">
        <f>G193</f>
        <v>36334.34197998047</v>
      </c>
      <c r="E249" s="23">
        <f t="shared" si="0"/>
        <v>19425.822974912833</v>
      </c>
      <c r="F249" s="23">
        <f>SUM($E$243:E249)</f>
        <v>17605.740230309922</v>
      </c>
      <c r="G249" t="s">
        <v>167</v>
      </c>
    </row>
    <row r="250" spans="3:6" ht="12.75">
      <c r="C250" s="7">
        <v>7</v>
      </c>
      <c r="D250" s="23">
        <f>G211</f>
        <v>40082.00648498535</v>
      </c>
      <c r="E250" s="23">
        <f t="shared" si="0"/>
        <v>19305.83554887291</v>
      </c>
      <c r="F250" s="23">
        <f>SUM($E$243:E250)</f>
        <v>36911.57577918284</v>
      </c>
    </row>
    <row r="251" spans="3:6" ht="12.75">
      <c r="C251" s="7">
        <v>8</v>
      </c>
      <c r="D251" s="23">
        <f>G229</f>
        <v>26499.004863739014</v>
      </c>
      <c r="E251" s="23">
        <f t="shared" si="0"/>
        <v>11498.620335906482</v>
      </c>
      <c r="F251" s="23">
        <f>SUM($E$243:E251)</f>
        <v>48410.19611508932</v>
      </c>
    </row>
    <row r="252" spans="3:7" ht="12.75">
      <c r="C252" s="7">
        <v>9</v>
      </c>
      <c r="D252" s="23">
        <f>G234</f>
        <v>7500</v>
      </c>
      <c r="E252" s="23">
        <f t="shared" si="0"/>
        <v>2931.9357857974373</v>
      </c>
      <c r="F252" s="23">
        <f>SUM($E$243:E252)</f>
        <v>51342.13190088676</v>
      </c>
      <c r="G252" t="s">
        <v>0</v>
      </c>
    </row>
    <row r="253" spans="3:5" ht="12.75">
      <c r="C253" t="s">
        <v>159</v>
      </c>
      <c r="E253" s="23">
        <f>SUM(E243:E252)</f>
        <v>51342.13190088676</v>
      </c>
    </row>
    <row r="255" spans="2:6" ht="12.75">
      <c r="B255" t="s">
        <v>160</v>
      </c>
      <c r="F255" s="21">
        <v>0.11</v>
      </c>
    </row>
    <row r="256" spans="2:6" ht="12.75">
      <c r="B256" t="s">
        <v>164</v>
      </c>
      <c r="F256" s="21">
        <v>0.06</v>
      </c>
    </row>
    <row r="257" spans="2:7" ht="12.75">
      <c r="B257" t="s">
        <v>0</v>
      </c>
      <c r="G257" t="s">
        <v>0</v>
      </c>
    </row>
    <row r="258" spans="2:7" ht="12.75">
      <c r="B258" s="11" t="s">
        <v>159</v>
      </c>
      <c r="E258" s="40">
        <f>NPV($F$255,D244:D252)+D243</f>
        <v>51342.131900886714</v>
      </c>
      <c r="F258" t="s">
        <v>0</v>
      </c>
      <c r="G258" s="23" t="s">
        <v>0</v>
      </c>
    </row>
    <row r="259" spans="2:5" ht="12.75">
      <c r="B259" s="11" t="s">
        <v>163</v>
      </c>
      <c r="E259" s="39">
        <f>MIRR(D243:D252,,$F$256)</f>
        <v>0.11026152942079448</v>
      </c>
    </row>
    <row r="260" spans="2:5" ht="12.75">
      <c r="B260" s="11" t="s">
        <v>168</v>
      </c>
      <c r="E260" s="41">
        <f>6+((F248*-1)/E249)</f>
        <v>6.0936939838766895</v>
      </c>
    </row>
    <row r="263" spans="2:9" ht="12.75">
      <c r="B263" s="12" t="s">
        <v>192</v>
      </c>
      <c r="C263" s="13"/>
      <c r="D263" s="13"/>
      <c r="E263" s="13"/>
      <c r="F263" s="13"/>
      <c r="G263" s="13"/>
      <c r="H263" s="13"/>
      <c r="I263" s="13"/>
    </row>
    <row r="265" spans="2:6" ht="12.75">
      <c r="B265" t="s">
        <v>193</v>
      </c>
      <c r="F265" t="str">
        <f>IF(E258&gt;0,"Yes","No")</f>
        <v>Yes</v>
      </c>
    </row>
    <row r="266" spans="2:6" ht="12.75">
      <c r="B266" t="s">
        <v>196</v>
      </c>
      <c r="F266" t="str">
        <f>IF(E259&gt;F255,"Yes","No")</f>
        <v>Yes</v>
      </c>
    </row>
    <row r="267" spans="2:6" ht="12.75">
      <c r="B267" t="s">
        <v>197</v>
      </c>
      <c r="F267" t="str">
        <f>IF(E260&gt;0,"Yes","No")</f>
        <v>Yes</v>
      </c>
    </row>
    <row r="269" ht="12.75">
      <c r="B269" s="6" t="s">
        <v>194</v>
      </c>
    </row>
    <row r="270" ht="12.75">
      <c r="B270" s="6" t="s">
        <v>195</v>
      </c>
    </row>
    <row r="273" spans="2:9" ht="12.75">
      <c r="B273" s="12" t="s">
        <v>216</v>
      </c>
      <c r="C273" s="13"/>
      <c r="D273" s="13"/>
      <c r="E273" s="13"/>
      <c r="F273" s="13"/>
      <c r="G273" s="13"/>
      <c r="H273" s="13"/>
      <c r="I273" s="13"/>
    </row>
    <row r="275" spans="2:5" ht="12.75">
      <c r="B275" t="s">
        <v>217</v>
      </c>
      <c r="E275" s="26">
        <f>F255-'Lead Worksheet'!E51</f>
        <v>0.015</v>
      </c>
    </row>
    <row r="277" ht="12.75">
      <c r="B277" t="s">
        <v>242</v>
      </c>
    </row>
    <row r="278" ht="12.75">
      <c r="B278" t="s">
        <v>243</v>
      </c>
    </row>
    <row r="279" spans="3:9" ht="12.75">
      <c r="C279" t="s">
        <v>219</v>
      </c>
      <c r="H279" s="30">
        <v>1</v>
      </c>
      <c r="I279" t="s">
        <v>244</v>
      </c>
    </row>
    <row r="280" spans="3:9" ht="12.75">
      <c r="C280" t="s">
        <v>220</v>
      </c>
      <c r="H280">
        <v>1</v>
      </c>
      <c r="I280" t="s">
        <v>245</v>
      </c>
    </row>
    <row r="281" spans="3:9" ht="12.75">
      <c r="C281" t="s">
        <v>246</v>
      </c>
      <c r="H281" s="34">
        <f>2-H279</f>
        <v>1</v>
      </c>
      <c r="I281" t="s">
        <v>248</v>
      </c>
    </row>
    <row r="282" spans="3:8" ht="12.75">
      <c r="C282" t="s">
        <v>247</v>
      </c>
      <c r="H282" s="34">
        <f>H280^H281</f>
        <v>1</v>
      </c>
    </row>
    <row r="284" spans="3:8" ht="12.75">
      <c r="C284" t="s">
        <v>249</v>
      </c>
      <c r="H284" s="3">
        <v>0.6</v>
      </c>
    </row>
    <row r="285" spans="3:9" ht="12.75">
      <c r="C285" t="s">
        <v>250</v>
      </c>
      <c r="H285" s="3">
        <v>5</v>
      </c>
      <c r="I285" t="s">
        <v>0</v>
      </c>
    </row>
    <row r="286" spans="3:8" ht="12.75">
      <c r="C286" t="s">
        <v>251</v>
      </c>
      <c r="H286">
        <f>2-H284</f>
        <v>1.4</v>
      </c>
    </row>
    <row r="287" spans="3:10" ht="12.75">
      <c r="C287" s="11" t="s">
        <v>252</v>
      </c>
      <c r="D287" s="11"/>
      <c r="E287" s="11"/>
      <c r="F287" s="11"/>
      <c r="G287" s="11"/>
      <c r="H287" s="44">
        <f>H285^H286</f>
        <v>9.518269693579391</v>
      </c>
      <c r="J287" t="s">
        <v>0</v>
      </c>
    </row>
    <row r="289" ht="12.75">
      <c r="B289" t="s">
        <v>221</v>
      </c>
    </row>
    <row r="290" spans="2:8" ht="12.75">
      <c r="B290" s="22" t="s">
        <v>222</v>
      </c>
      <c r="C290" t="s">
        <v>225</v>
      </c>
      <c r="H290" s="21">
        <v>0.25</v>
      </c>
    </row>
    <row r="291" spans="2:8" ht="12.75">
      <c r="B291" s="22" t="s">
        <v>223</v>
      </c>
      <c r="C291" t="s">
        <v>226</v>
      </c>
      <c r="H291" s="21">
        <v>0.6</v>
      </c>
    </row>
    <row r="292" spans="2:8" ht="12.75">
      <c r="B292" s="22" t="s">
        <v>224</v>
      </c>
      <c r="C292" t="s">
        <v>227</v>
      </c>
      <c r="H292" s="21">
        <v>0.15</v>
      </c>
    </row>
    <row r="293" spans="4:8" ht="12.75">
      <c r="D293" t="s">
        <v>228</v>
      </c>
      <c r="F293" s="26">
        <v>1</v>
      </c>
      <c r="H293" s="26">
        <f>SUM(H290:H292)</f>
        <v>1</v>
      </c>
    </row>
    <row r="295" ht="12.75">
      <c r="B295" s="31" t="s">
        <v>229</v>
      </c>
    </row>
    <row r="296" ht="12.75">
      <c r="B296" s="31"/>
    </row>
    <row r="297" spans="6:8" ht="12.75">
      <c r="F297" s="7" t="s">
        <v>0</v>
      </c>
      <c r="G297" s="7" t="s">
        <v>235</v>
      </c>
      <c r="H297" s="7" t="s">
        <v>237</v>
      </c>
    </row>
    <row r="298" spans="3:8" ht="12.75">
      <c r="C298" s="106" t="s">
        <v>354</v>
      </c>
      <c r="D298" s="105"/>
      <c r="E298" s="105"/>
      <c r="F298" s="7" t="s">
        <v>233</v>
      </c>
      <c r="G298" s="7" t="s">
        <v>234</v>
      </c>
      <c r="H298" s="7" t="s">
        <v>238</v>
      </c>
    </row>
    <row r="299" spans="2:8" ht="12.75">
      <c r="B299" s="46" t="s">
        <v>25</v>
      </c>
      <c r="C299" s="46" t="s">
        <v>232</v>
      </c>
      <c r="D299" s="46" t="s">
        <v>230</v>
      </c>
      <c r="E299" s="46" t="s">
        <v>231</v>
      </c>
      <c r="F299" s="46" t="s">
        <v>162</v>
      </c>
      <c r="G299" s="46" t="s">
        <v>236</v>
      </c>
      <c r="H299" s="46" t="s">
        <v>239</v>
      </c>
    </row>
    <row r="300" spans="2:8" ht="12.75">
      <c r="B300" s="7">
        <v>1</v>
      </c>
      <c r="C300" s="32">
        <v>41800</v>
      </c>
      <c r="D300" s="23">
        <f>D244</f>
        <v>55497.0625</v>
      </c>
      <c r="E300" s="32">
        <v>64900</v>
      </c>
      <c r="F300" s="23">
        <f>(C300*$H$290)+(D300*$H$291)+(E300*$H$292)</f>
        <v>53483.237499999996</v>
      </c>
      <c r="G300" s="23">
        <f>STDEV(C300,F300)+STDEV(D300,F300)+STDEV(E300,F300)</f>
        <v>17758.155959032265</v>
      </c>
      <c r="H300" s="33">
        <f>G300/F300</f>
        <v>0.33203218034495885</v>
      </c>
    </row>
    <row r="301" spans="2:8" ht="12.75">
      <c r="B301" s="7">
        <v>2</v>
      </c>
      <c r="C301" s="32">
        <v>39750</v>
      </c>
      <c r="D301" s="23">
        <f aca="true" t="shared" si="1" ref="D301:D308">D245</f>
        <v>57517.796875</v>
      </c>
      <c r="E301" s="32">
        <v>67300</v>
      </c>
      <c r="F301" s="23">
        <f aca="true" t="shared" si="2" ref="F301:F308">(C301*$H$290)+(D301*$H$291)+(E301*$H$292)</f>
        <v>54543.178125</v>
      </c>
      <c r="G301" s="23">
        <f aca="true" t="shared" si="3" ref="G301:G309">STDEV(C301,F301)+STDEV(D301,F301)+STDEV(E301,F301)</f>
        <v>21584.164911258722</v>
      </c>
      <c r="H301" s="33">
        <f aca="true" t="shared" si="4" ref="H301:H309">G301/F301</f>
        <v>0.39572620542559783</v>
      </c>
    </row>
    <row r="302" spans="2:8" ht="12.75">
      <c r="B302" s="7">
        <v>3</v>
      </c>
      <c r="C302" s="32">
        <v>37400</v>
      </c>
      <c r="D302" s="23">
        <f t="shared" si="1"/>
        <v>57213.34765625</v>
      </c>
      <c r="E302" s="32">
        <v>66100</v>
      </c>
      <c r="F302" s="23">
        <f t="shared" si="2"/>
        <v>53593.00859375</v>
      </c>
      <c r="G302" s="23">
        <f t="shared" si="3"/>
        <v>22853.930921342217</v>
      </c>
      <c r="H302" s="33">
        <f t="shared" si="4"/>
        <v>0.42643493099223834</v>
      </c>
    </row>
    <row r="303" spans="2:8" ht="12.75">
      <c r="B303" s="7">
        <v>4</v>
      </c>
      <c r="C303" s="32">
        <v>26200</v>
      </c>
      <c r="D303" s="23">
        <f t="shared" si="1"/>
        <v>32469.3857421875</v>
      </c>
      <c r="E303" s="32">
        <v>41050</v>
      </c>
      <c r="F303" s="23">
        <f t="shared" si="2"/>
        <v>32189.131445312498</v>
      </c>
      <c r="G303" s="23">
        <f t="shared" si="3"/>
        <v>10698.70541439768</v>
      </c>
      <c r="H303" s="33">
        <f t="shared" si="4"/>
        <v>0.3323701179254921</v>
      </c>
    </row>
    <row r="304" spans="2:8" ht="12.75">
      <c r="B304" s="7">
        <v>5</v>
      </c>
      <c r="C304" s="32">
        <v>21050</v>
      </c>
      <c r="D304" s="23">
        <f t="shared" si="1"/>
        <v>34303.289306640625</v>
      </c>
      <c r="E304" s="32">
        <v>40900</v>
      </c>
      <c r="F304" s="23">
        <f t="shared" si="2"/>
        <v>31979.473583984374</v>
      </c>
      <c r="G304" s="23">
        <f t="shared" si="3"/>
        <v>15679.255462271085</v>
      </c>
      <c r="H304" s="33">
        <f t="shared" si="4"/>
        <v>0.49029123075132186</v>
      </c>
    </row>
    <row r="305" spans="2:8" ht="12.75">
      <c r="B305" s="7">
        <v>6</v>
      </c>
      <c r="C305" s="32">
        <v>13200</v>
      </c>
      <c r="D305" s="23">
        <f t="shared" si="1"/>
        <v>36334.34197998047</v>
      </c>
      <c r="E305" s="32">
        <v>39800</v>
      </c>
      <c r="F305" s="23">
        <f t="shared" si="2"/>
        <v>31070.60518798828</v>
      </c>
      <c r="G305" s="23">
        <f t="shared" si="3"/>
        <v>22531.064359560878</v>
      </c>
      <c r="H305" s="33">
        <f t="shared" si="4"/>
        <v>0.7251569199647022</v>
      </c>
    </row>
    <row r="306" spans="2:8" ht="12.75">
      <c r="B306" s="7">
        <v>7</v>
      </c>
      <c r="C306" s="32">
        <v>11800</v>
      </c>
      <c r="D306" s="23">
        <f t="shared" si="1"/>
        <v>40082.00648498535</v>
      </c>
      <c r="E306" s="32">
        <v>40800</v>
      </c>
      <c r="F306" s="23">
        <f t="shared" si="2"/>
        <v>33119.20389099121</v>
      </c>
      <c r="G306" s="23">
        <f t="shared" si="3"/>
        <v>25429.541584686347</v>
      </c>
      <c r="H306" s="33">
        <f t="shared" si="4"/>
        <v>0.7678186247587753</v>
      </c>
    </row>
    <row r="307" spans="2:8" ht="12.75">
      <c r="B307" s="7">
        <v>8</v>
      </c>
      <c r="C307" s="32">
        <v>8100</v>
      </c>
      <c r="D307" s="23">
        <f t="shared" si="1"/>
        <v>26499.004863739014</v>
      </c>
      <c r="E307" s="32">
        <v>35700</v>
      </c>
      <c r="F307" s="23">
        <f t="shared" si="2"/>
        <v>23279.40291824341</v>
      </c>
      <c r="G307" s="23">
        <f t="shared" si="3"/>
        <v>21792.74952913005</v>
      </c>
      <c r="H307" s="33">
        <f t="shared" si="4"/>
        <v>0.9361386804320351</v>
      </c>
    </row>
    <row r="308" spans="2:8" ht="12.75">
      <c r="B308" s="7" t="s">
        <v>183</v>
      </c>
      <c r="C308" s="32">
        <v>1000</v>
      </c>
      <c r="D308" s="23">
        <f t="shared" si="1"/>
        <v>7500</v>
      </c>
      <c r="E308" s="32">
        <v>8500</v>
      </c>
      <c r="F308" s="23">
        <f t="shared" si="2"/>
        <v>6025</v>
      </c>
      <c r="G308" s="23">
        <f t="shared" si="3"/>
        <v>6346.283361149264</v>
      </c>
      <c r="H308" s="33">
        <f t="shared" si="4"/>
        <v>1.0533250391948987</v>
      </c>
    </row>
    <row r="309" spans="2:8" ht="12.75">
      <c r="B309" s="7" t="s">
        <v>240</v>
      </c>
      <c r="C309" s="23">
        <f>SUM(C300:C308)</f>
        <v>200300</v>
      </c>
      <c r="D309" s="23">
        <f>SUM(D300:D308)</f>
        <v>347416.23540878296</v>
      </c>
      <c r="E309" s="23">
        <f>SUM(E300:E308)</f>
        <v>405050</v>
      </c>
      <c r="F309" s="23">
        <f>SUM(F300:F308)</f>
        <v>319282.2412452698</v>
      </c>
      <c r="G309" s="23">
        <f t="shared" si="3"/>
        <v>164673.8515028294</v>
      </c>
      <c r="H309" s="33">
        <f t="shared" si="4"/>
        <v>0.5157626395397558</v>
      </c>
    </row>
    <row r="311" spans="3:7" ht="12.75">
      <c r="C311" s="11" t="s">
        <v>241</v>
      </c>
      <c r="D311" s="11"/>
      <c r="E311" s="11"/>
      <c r="F311" s="11"/>
      <c r="G311" s="25">
        <f>G309</f>
        <v>164673.8515028294</v>
      </c>
    </row>
    <row r="312" spans="3:7" ht="12.75">
      <c r="C312" s="11" t="s">
        <v>299</v>
      </c>
      <c r="D312" s="11"/>
      <c r="E312" s="11"/>
      <c r="F312" s="11"/>
      <c r="G312" s="45">
        <f>H309</f>
        <v>0.5157626395397558</v>
      </c>
    </row>
    <row r="313" ht="12.75">
      <c r="G313" s="33"/>
    </row>
    <row r="314" ht="12.75">
      <c r="G314" s="33"/>
    </row>
    <row r="315" spans="2:9" ht="12.75">
      <c r="B315" s="12" t="s">
        <v>261</v>
      </c>
      <c r="C315" s="13"/>
      <c r="D315" s="13"/>
      <c r="E315" s="13"/>
      <c r="F315" s="13"/>
      <c r="G315" s="13"/>
      <c r="H315" s="13"/>
      <c r="I315" s="13"/>
    </row>
    <row r="317" spans="4:6" ht="12.75">
      <c r="D317" s="7" t="s">
        <v>233</v>
      </c>
      <c r="E317" s="7" t="s">
        <v>355</v>
      </c>
      <c r="F317" s="7" t="s">
        <v>166</v>
      </c>
    </row>
    <row r="318" spans="3:6" ht="12.75">
      <c r="C318" s="7" t="s">
        <v>25</v>
      </c>
      <c r="D318" s="7" t="s">
        <v>162</v>
      </c>
      <c r="E318" s="7" t="s">
        <v>162</v>
      </c>
      <c r="F318" s="7" t="s">
        <v>165</v>
      </c>
    </row>
    <row r="319" spans="3:5" ht="12.75">
      <c r="C319" s="7">
        <v>0</v>
      </c>
      <c r="D319" s="23">
        <f>D243</f>
        <v>-182080</v>
      </c>
      <c r="E319" s="23">
        <f>D319</f>
        <v>-182080</v>
      </c>
    </row>
    <row r="320" spans="3:6" ht="12.75">
      <c r="C320" s="7">
        <v>1</v>
      </c>
      <c r="D320" s="23">
        <f>F300</f>
        <v>53483.237499999996</v>
      </c>
      <c r="E320" s="23">
        <f>D320/(1+$F$255)^C320</f>
        <v>48183.09684684684</v>
      </c>
      <c r="F320" s="23">
        <f>SUM($E$319:E320)</f>
        <v>-133896.90315315317</v>
      </c>
    </row>
    <row r="321" spans="3:6" ht="12.75">
      <c r="C321" s="7">
        <v>2</v>
      </c>
      <c r="D321" s="23">
        <f aca="true" t="shared" si="5" ref="D321:D328">F301</f>
        <v>54543.178125</v>
      </c>
      <c r="E321" s="23">
        <f aca="true" t="shared" si="6" ref="E321:E328">D321/(1+$F$255)^C321</f>
        <v>44268.466946676395</v>
      </c>
      <c r="F321" s="23">
        <f>SUM($E$319:E321)</f>
        <v>-89628.43620647676</v>
      </c>
    </row>
    <row r="322" spans="3:6" ht="12.75">
      <c r="C322" s="7">
        <v>3</v>
      </c>
      <c r="D322" s="23">
        <f t="shared" si="5"/>
        <v>53593.00859375</v>
      </c>
      <c r="E322" s="23">
        <f t="shared" si="6"/>
        <v>39186.74598173775</v>
      </c>
      <c r="F322" s="23">
        <f>SUM($E$319:E322)</f>
        <v>-50441.69022473901</v>
      </c>
    </row>
    <row r="323" spans="3:6" ht="12.75">
      <c r="C323" s="7">
        <v>4</v>
      </c>
      <c r="D323" s="23">
        <f t="shared" si="5"/>
        <v>32189.131445312498</v>
      </c>
      <c r="E323" s="23">
        <f t="shared" si="6"/>
        <v>21203.977913852155</v>
      </c>
      <c r="F323" s="23">
        <f>SUM($E$319:E323)</f>
        <v>-29237.712310886855</v>
      </c>
    </row>
    <row r="324" spans="3:6" ht="12.75">
      <c r="C324" s="7">
        <v>5</v>
      </c>
      <c r="D324" s="23">
        <f t="shared" si="5"/>
        <v>31979.473583984374</v>
      </c>
      <c r="E324" s="23">
        <f t="shared" si="6"/>
        <v>18978.261069029122</v>
      </c>
      <c r="F324" s="23">
        <f>SUM($E$319:E324)</f>
        <v>-10259.451241857732</v>
      </c>
    </row>
    <row r="325" spans="3:7" ht="12.75">
      <c r="C325" s="7">
        <v>6</v>
      </c>
      <c r="D325" s="23">
        <f t="shared" si="5"/>
        <v>31070.60518798828</v>
      </c>
      <c r="E325" s="23">
        <f t="shared" si="6"/>
        <v>16611.614335490798</v>
      </c>
      <c r="F325" s="23">
        <f>SUM($E$319:E325)</f>
        <v>6352.163093633066</v>
      </c>
      <c r="G325" t="s">
        <v>263</v>
      </c>
    </row>
    <row r="326" spans="3:6" ht="12.75">
      <c r="C326" s="7">
        <v>7</v>
      </c>
      <c r="D326" s="23">
        <f t="shared" si="5"/>
        <v>33119.20389099121</v>
      </c>
      <c r="E326" s="23">
        <f t="shared" si="6"/>
        <v>15952.14311610333</v>
      </c>
      <c r="F326" s="23">
        <f>SUM($E$319:E326)</f>
        <v>22304.306209736395</v>
      </c>
    </row>
    <row r="327" spans="3:6" ht="12.75">
      <c r="C327" s="7">
        <v>8</v>
      </c>
      <c r="D327" s="23">
        <f t="shared" si="5"/>
        <v>23279.40291824341</v>
      </c>
      <c r="E327" s="23">
        <f t="shared" si="6"/>
        <v>10101.549744223283</v>
      </c>
      <c r="F327" s="23">
        <f>SUM($E$319:E327)</f>
        <v>32405.855953959675</v>
      </c>
    </row>
    <row r="328" spans="3:6" ht="12.75">
      <c r="C328" s="7">
        <v>9</v>
      </c>
      <c r="D328" s="23">
        <f t="shared" si="5"/>
        <v>6025</v>
      </c>
      <c r="E328" s="23">
        <f t="shared" si="6"/>
        <v>2355.3217479239415</v>
      </c>
      <c r="F328" s="23">
        <f>SUM($E$319:E328)</f>
        <v>34761.177701883615</v>
      </c>
    </row>
    <row r="329" spans="3:5" ht="12.75">
      <c r="C329" s="7" t="s">
        <v>240</v>
      </c>
      <c r="D329" s="23" t="s">
        <v>0</v>
      </c>
      <c r="E329" s="23">
        <f>SUM(E319:E328)</f>
        <v>34761.177701883615</v>
      </c>
    </row>
    <row r="330" ht="12.75">
      <c r="F330" s="23" t="s">
        <v>0</v>
      </c>
    </row>
    <row r="331" spans="2:6" ht="12.75">
      <c r="B331" s="11" t="s">
        <v>159</v>
      </c>
      <c r="E331" s="40">
        <f>NPV(F255,D320:D328)+D319</f>
        <v>34761.1777018836</v>
      </c>
      <c r="F331" t="s">
        <v>0</v>
      </c>
    </row>
    <row r="332" spans="2:5" ht="12.75">
      <c r="B332" s="11" t="s">
        <v>163</v>
      </c>
      <c r="E332" s="39">
        <f>MIRR(D319:D328,$F$255,$F$256)</f>
        <v>0.1006570812732066</v>
      </c>
    </row>
    <row r="333" spans="2:5" ht="12.75">
      <c r="B333" s="11" t="s">
        <v>168</v>
      </c>
      <c r="E333" s="41">
        <f>6+((F324*-1)/E325)</f>
        <v>6.617607117204639</v>
      </c>
    </row>
  </sheetData>
  <mergeCells count="1">
    <mergeCell ref="C298:E298"/>
  </mergeCells>
  <conditionalFormatting sqref="H293">
    <cfRule type="cellIs" priority="1" dxfId="0" operator="notEqual" stopIfTrue="1">
      <formula>$F$293</formula>
    </cfRule>
  </conditionalFormatting>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B1:Q256"/>
  <sheetViews>
    <sheetView workbookViewId="0" topLeftCell="A1">
      <selection activeCell="A1" sqref="A1"/>
    </sheetView>
  </sheetViews>
  <sheetFormatPr defaultColWidth="9.140625" defaultRowHeight="12.75"/>
  <cols>
    <col min="3" max="3" width="9.8515625" style="0" customWidth="1"/>
    <col min="4" max="4" width="9.7109375" style="0" customWidth="1"/>
    <col min="5" max="5" width="10.8515625" style="0" customWidth="1"/>
    <col min="6" max="7" width="10.57421875" style="0" customWidth="1"/>
    <col min="8" max="8" width="10.140625" style="0" customWidth="1"/>
    <col min="9" max="9" width="9.8515625" style="0" customWidth="1"/>
    <col min="12" max="12" width="9.7109375" style="0" bestFit="1" customWidth="1"/>
  </cols>
  <sheetData>
    <row r="1" ht="18">
      <c r="C1" s="1" t="s">
        <v>4</v>
      </c>
    </row>
    <row r="2" ht="18">
      <c r="C2" s="1" t="str">
        <f>'Lead Worksheet'!C2</f>
        <v>Medical Services USA</v>
      </c>
    </row>
    <row r="3" spans="2:5" ht="18">
      <c r="B3" s="8" t="str">
        <f>'Lead Worksheet'!B45</f>
        <v>B</v>
      </c>
      <c r="C3" s="1" t="str">
        <f>'Lead Worksheet'!C45</f>
        <v>New Clinic in Kansas City</v>
      </c>
      <c r="D3" s="1"/>
      <c r="E3" s="1"/>
    </row>
    <row r="5" spans="2:9" ht="12.75">
      <c r="B5" s="12" t="s">
        <v>91</v>
      </c>
      <c r="C5" s="13"/>
      <c r="D5" s="13"/>
      <c r="E5" s="13"/>
      <c r="F5" s="13"/>
      <c r="G5" s="13"/>
      <c r="H5" s="13"/>
      <c r="I5" s="13"/>
    </row>
    <row r="7" spans="2:9" ht="12.75">
      <c r="B7" t="s">
        <v>92</v>
      </c>
      <c r="D7" s="3" t="s">
        <v>187</v>
      </c>
      <c r="E7" s="3"/>
      <c r="F7" s="3"/>
      <c r="G7" s="3"/>
      <c r="H7" s="3"/>
      <c r="I7" s="3"/>
    </row>
    <row r="8" spans="2:9" ht="12.75">
      <c r="B8" t="s">
        <v>258</v>
      </c>
      <c r="D8" s="3" t="s">
        <v>259</v>
      </c>
      <c r="E8" s="3"/>
      <c r="F8" s="3"/>
      <c r="G8" s="3"/>
      <c r="H8" s="3"/>
      <c r="I8" s="3"/>
    </row>
    <row r="9" spans="2:9" ht="12.75">
      <c r="B9" t="s">
        <v>93</v>
      </c>
      <c r="D9" s="3" t="s">
        <v>188</v>
      </c>
      <c r="E9" s="3"/>
      <c r="F9" s="3"/>
      <c r="G9" s="3"/>
      <c r="H9" s="3"/>
      <c r="I9" s="3"/>
    </row>
    <row r="10" spans="2:9" ht="12.75">
      <c r="B10" t="s">
        <v>94</v>
      </c>
      <c r="E10" s="3" t="s">
        <v>189</v>
      </c>
      <c r="F10" s="3"/>
      <c r="G10" s="3"/>
      <c r="H10" s="3"/>
      <c r="I10" s="3"/>
    </row>
    <row r="11" spans="2:9" ht="12.75">
      <c r="B11" t="s">
        <v>95</v>
      </c>
      <c r="E11" s="3" t="s">
        <v>190</v>
      </c>
      <c r="F11" s="3"/>
      <c r="G11" s="3"/>
      <c r="H11" s="3"/>
      <c r="I11" s="3"/>
    </row>
    <row r="12" spans="2:9" ht="12.75">
      <c r="B12" t="s">
        <v>96</v>
      </c>
      <c r="E12" s="3" t="s">
        <v>191</v>
      </c>
      <c r="F12" s="3"/>
      <c r="G12" s="3"/>
      <c r="H12" s="3"/>
      <c r="I12" s="3"/>
    </row>
    <row r="13" spans="2:5" ht="12.75">
      <c r="B13" t="s">
        <v>97</v>
      </c>
      <c r="E13" s="20">
        <v>33695</v>
      </c>
    </row>
    <row r="14" spans="2:6" ht="12.75">
      <c r="B14" t="s">
        <v>460</v>
      </c>
      <c r="D14" s="79">
        <v>2</v>
      </c>
      <c r="E14" s="3"/>
      <c r="F14" t="s">
        <v>0</v>
      </c>
    </row>
    <row r="15" spans="2:5" ht="12.75">
      <c r="B15" t="s">
        <v>461</v>
      </c>
      <c r="D15" s="79" t="s">
        <v>9</v>
      </c>
      <c r="E15" s="3"/>
    </row>
    <row r="16" spans="2:6" ht="12.75">
      <c r="B16" t="s">
        <v>462</v>
      </c>
      <c r="D16" s="79">
        <v>3</v>
      </c>
      <c r="E16" s="3"/>
      <c r="F16" t="s">
        <v>0</v>
      </c>
    </row>
    <row r="18" spans="2:9" ht="12.75">
      <c r="B18" s="12" t="s">
        <v>31</v>
      </c>
      <c r="C18" s="13"/>
      <c r="D18" s="13"/>
      <c r="E18" s="13"/>
      <c r="F18" s="13"/>
      <c r="G18" s="13"/>
      <c r="H18" s="13"/>
      <c r="I18" s="13"/>
    </row>
    <row r="20" spans="2:4" ht="12.75">
      <c r="B20" s="6" t="s">
        <v>32</v>
      </c>
      <c r="C20" s="6"/>
      <c r="D20" s="6"/>
    </row>
    <row r="21" spans="2:4" ht="12.75">
      <c r="B21" s="6" t="s">
        <v>33</v>
      </c>
      <c r="C21" s="6"/>
      <c r="D21" s="6"/>
    </row>
    <row r="22" spans="2:4" ht="12.75">
      <c r="B22" s="6" t="s">
        <v>34</v>
      </c>
      <c r="C22" s="6"/>
      <c r="D22" s="6"/>
    </row>
    <row r="24" spans="2:9" ht="12.75">
      <c r="B24" s="6" t="s">
        <v>35</v>
      </c>
      <c r="I24" s="14"/>
    </row>
    <row r="25" spans="2:9" ht="12.75">
      <c r="B25" s="16" t="s">
        <v>37</v>
      </c>
      <c r="C25" s="6" t="s">
        <v>36</v>
      </c>
      <c r="D25" s="6"/>
      <c r="E25" s="6"/>
      <c r="F25" s="6"/>
      <c r="G25" s="6"/>
      <c r="I25" s="15">
        <v>3</v>
      </c>
    </row>
    <row r="26" spans="2:9" ht="12.75">
      <c r="B26" s="16" t="s">
        <v>38</v>
      </c>
      <c r="C26" s="6" t="s">
        <v>39</v>
      </c>
      <c r="D26" s="6"/>
      <c r="E26" s="6"/>
      <c r="F26" s="6"/>
      <c r="G26" s="6"/>
      <c r="I26" s="15">
        <v>2</v>
      </c>
    </row>
    <row r="27" spans="2:9" ht="12.75">
      <c r="B27" s="16" t="s">
        <v>43</v>
      </c>
      <c r="C27" s="6" t="s">
        <v>40</v>
      </c>
      <c r="D27" s="6"/>
      <c r="E27" s="6"/>
      <c r="F27" s="6"/>
      <c r="G27" s="6"/>
      <c r="I27" s="15">
        <v>4</v>
      </c>
    </row>
    <row r="28" spans="2:9" ht="12.75">
      <c r="B28" s="16" t="s">
        <v>44</v>
      </c>
      <c r="C28" s="6" t="s">
        <v>41</v>
      </c>
      <c r="D28" s="6"/>
      <c r="E28" s="6"/>
      <c r="F28" s="6"/>
      <c r="G28" s="6"/>
      <c r="I28" s="15">
        <v>2</v>
      </c>
    </row>
    <row r="29" spans="2:9" ht="12.75">
      <c r="B29" s="16" t="s">
        <v>45</v>
      </c>
      <c r="C29" s="6" t="s">
        <v>42</v>
      </c>
      <c r="D29" s="6"/>
      <c r="E29" s="6"/>
      <c r="F29" s="6"/>
      <c r="G29" s="6"/>
      <c r="I29" s="15">
        <v>0</v>
      </c>
    </row>
    <row r="30" spans="2:9" ht="12.75">
      <c r="B30" s="16" t="s">
        <v>46</v>
      </c>
      <c r="C30" s="6" t="s">
        <v>42</v>
      </c>
      <c r="D30" s="6"/>
      <c r="E30" s="6"/>
      <c r="F30" s="6"/>
      <c r="G30" s="6"/>
      <c r="I30" s="15">
        <v>0</v>
      </c>
    </row>
    <row r="31" spans="2:9" ht="12.75">
      <c r="B31" s="16"/>
      <c r="C31" s="6"/>
      <c r="D31" s="6"/>
      <c r="E31" s="6"/>
      <c r="F31" s="6"/>
      <c r="G31" s="6"/>
      <c r="I31" s="14"/>
    </row>
    <row r="32" spans="2:9" ht="12.75">
      <c r="B32" s="17" t="s">
        <v>47</v>
      </c>
      <c r="C32" s="6"/>
      <c r="D32" s="6"/>
      <c r="E32" s="6"/>
      <c r="F32" s="6"/>
      <c r="G32" s="6"/>
      <c r="I32" s="14"/>
    </row>
    <row r="33" spans="2:9" ht="12.75">
      <c r="B33" s="16" t="s">
        <v>48</v>
      </c>
      <c r="C33" s="6" t="s">
        <v>51</v>
      </c>
      <c r="D33" s="6"/>
      <c r="E33" s="6"/>
      <c r="F33" s="6"/>
      <c r="G33" s="6"/>
      <c r="I33" s="15">
        <v>2</v>
      </c>
    </row>
    <row r="34" spans="2:9" ht="12.75">
      <c r="B34" s="16" t="s">
        <v>49</v>
      </c>
      <c r="C34" s="6" t="s">
        <v>52</v>
      </c>
      <c r="D34" s="6"/>
      <c r="E34" s="6"/>
      <c r="F34" s="6"/>
      <c r="G34" s="6"/>
      <c r="I34" s="15">
        <v>3</v>
      </c>
    </row>
    <row r="35" spans="2:9" ht="12.75">
      <c r="B35" s="16" t="s">
        <v>50</v>
      </c>
      <c r="C35" s="6" t="s">
        <v>53</v>
      </c>
      <c r="D35" s="6"/>
      <c r="E35" s="6"/>
      <c r="F35" s="6"/>
      <c r="G35" s="6"/>
      <c r="I35" s="15">
        <v>3</v>
      </c>
    </row>
    <row r="36" spans="2:9" ht="12.75">
      <c r="B36" s="16" t="s">
        <v>56</v>
      </c>
      <c r="C36" s="6" t="s">
        <v>54</v>
      </c>
      <c r="D36" s="6"/>
      <c r="E36" s="6"/>
      <c r="F36" s="6"/>
      <c r="G36" s="6"/>
      <c r="I36" s="15">
        <v>2</v>
      </c>
    </row>
    <row r="37" spans="2:9" ht="12.75">
      <c r="B37" s="16" t="s">
        <v>57</v>
      </c>
      <c r="C37" s="6" t="s">
        <v>55</v>
      </c>
      <c r="D37" s="6"/>
      <c r="E37" s="6"/>
      <c r="F37" s="6"/>
      <c r="G37" s="6"/>
      <c r="I37" s="15">
        <v>0</v>
      </c>
    </row>
    <row r="38" spans="2:9" ht="12.75">
      <c r="B38" s="16" t="s">
        <v>58</v>
      </c>
      <c r="C38" s="6" t="s">
        <v>55</v>
      </c>
      <c r="D38" s="6"/>
      <c r="E38" s="6"/>
      <c r="F38" s="6"/>
      <c r="G38" s="6"/>
      <c r="I38" s="15">
        <v>0</v>
      </c>
    </row>
    <row r="39" spans="2:9" ht="12.75">
      <c r="B39" s="16"/>
      <c r="C39" s="6"/>
      <c r="D39" s="6"/>
      <c r="E39" s="6"/>
      <c r="F39" s="6"/>
      <c r="G39" s="6"/>
      <c r="I39" s="18"/>
    </row>
    <row r="40" spans="2:9" ht="12.75">
      <c r="B40" s="17" t="s">
        <v>74</v>
      </c>
      <c r="C40" s="6"/>
      <c r="D40" s="6"/>
      <c r="E40" s="6"/>
      <c r="F40" s="6"/>
      <c r="G40" s="6"/>
      <c r="I40" s="18"/>
    </row>
    <row r="41" spans="2:9" ht="12.75">
      <c r="B41" s="16" t="s">
        <v>75</v>
      </c>
      <c r="C41" s="6" t="s">
        <v>77</v>
      </c>
      <c r="D41" s="6"/>
      <c r="E41" s="6"/>
      <c r="F41" s="6"/>
      <c r="G41" s="6"/>
      <c r="I41" s="15">
        <v>0</v>
      </c>
    </row>
    <row r="42" spans="2:9" ht="12.75">
      <c r="B42" s="16" t="s">
        <v>81</v>
      </c>
      <c r="C42" s="6" t="s">
        <v>78</v>
      </c>
      <c r="D42" s="6"/>
      <c r="E42" s="6"/>
      <c r="F42" s="6"/>
      <c r="G42" s="6"/>
      <c r="I42" s="15">
        <v>0</v>
      </c>
    </row>
    <row r="43" spans="2:9" ht="12.75">
      <c r="B43" s="16" t="s">
        <v>82</v>
      </c>
      <c r="C43" s="6" t="s">
        <v>79</v>
      </c>
      <c r="D43" s="6"/>
      <c r="E43" s="6"/>
      <c r="F43" s="6"/>
      <c r="G43" s="6"/>
      <c r="I43" s="15">
        <v>0</v>
      </c>
    </row>
    <row r="44" spans="2:9" ht="12.75">
      <c r="B44" s="16" t="s">
        <v>83</v>
      </c>
      <c r="C44" s="6" t="s">
        <v>80</v>
      </c>
      <c r="D44" s="6"/>
      <c r="E44" s="6"/>
      <c r="F44" s="6"/>
      <c r="G44" s="6"/>
      <c r="I44" s="15">
        <v>0</v>
      </c>
    </row>
    <row r="45" spans="2:9" ht="12.75">
      <c r="B45" s="16" t="s">
        <v>85</v>
      </c>
      <c r="C45" s="6" t="s">
        <v>84</v>
      </c>
      <c r="D45" s="6"/>
      <c r="E45" s="6"/>
      <c r="F45" s="6"/>
      <c r="G45" s="6"/>
      <c r="I45" s="15">
        <v>0</v>
      </c>
    </row>
    <row r="46" spans="2:9" ht="12.75">
      <c r="B46" s="16"/>
      <c r="C46" s="6"/>
      <c r="D46" s="6"/>
      <c r="E46" s="6"/>
      <c r="F46" s="6"/>
      <c r="G46" s="6"/>
      <c r="I46" s="14"/>
    </row>
    <row r="47" spans="2:9" ht="12.75">
      <c r="B47" s="17" t="s">
        <v>59</v>
      </c>
      <c r="C47" s="6"/>
      <c r="D47" s="6"/>
      <c r="E47" s="6"/>
      <c r="F47" s="6"/>
      <c r="G47" s="6"/>
      <c r="I47" s="14"/>
    </row>
    <row r="48" spans="2:9" ht="12.75">
      <c r="B48" s="16" t="s">
        <v>60</v>
      </c>
      <c r="C48" s="6" t="s">
        <v>61</v>
      </c>
      <c r="D48" s="6"/>
      <c r="E48" s="6"/>
      <c r="F48" s="6"/>
      <c r="G48" s="6"/>
      <c r="I48" s="15">
        <v>0</v>
      </c>
    </row>
    <row r="49" spans="2:9" ht="12.75">
      <c r="B49" s="16" t="s">
        <v>65</v>
      </c>
      <c r="C49" s="6" t="s">
        <v>62</v>
      </c>
      <c r="D49" s="6"/>
      <c r="E49" s="6"/>
      <c r="F49" s="6"/>
      <c r="G49" s="6"/>
      <c r="I49" s="15">
        <v>0</v>
      </c>
    </row>
    <row r="50" spans="2:9" ht="12.75">
      <c r="B50" s="16" t="s">
        <v>66</v>
      </c>
      <c r="C50" s="6" t="s">
        <v>63</v>
      </c>
      <c r="D50" s="6"/>
      <c r="E50" s="6"/>
      <c r="F50" s="6"/>
      <c r="G50" s="6"/>
      <c r="I50" s="15">
        <v>0</v>
      </c>
    </row>
    <row r="51" spans="2:9" ht="12.75">
      <c r="B51" s="16" t="s">
        <v>67</v>
      </c>
      <c r="C51" s="6" t="s">
        <v>72</v>
      </c>
      <c r="D51" s="6"/>
      <c r="E51" s="6"/>
      <c r="F51" s="6"/>
      <c r="G51" s="6"/>
      <c r="I51" s="15">
        <v>3</v>
      </c>
    </row>
    <row r="52" spans="2:9" ht="12.75">
      <c r="B52" s="16" t="s">
        <v>68</v>
      </c>
      <c r="C52" s="6" t="s">
        <v>107</v>
      </c>
      <c r="D52" s="6"/>
      <c r="E52" s="6"/>
      <c r="F52" s="6"/>
      <c r="G52" s="6"/>
      <c r="I52" s="15">
        <v>0</v>
      </c>
    </row>
    <row r="53" spans="2:9" ht="12.75">
      <c r="B53" s="16" t="s">
        <v>69</v>
      </c>
      <c r="C53" s="6" t="s">
        <v>64</v>
      </c>
      <c r="D53" s="6"/>
      <c r="E53" s="6"/>
      <c r="F53" s="6"/>
      <c r="G53" s="6"/>
      <c r="I53" s="15">
        <v>0</v>
      </c>
    </row>
    <row r="54" spans="2:9" ht="12.75">
      <c r="B54" s="16" t="s">
        <v>71</v>
      </c>
      <c r="C54" s="6" t="s">
        <v>64</v>
      </c>
      <c r="I54" s="15">
        <v>0</v>
      </c>
    </row>
    <row r="55" spans="2:9" ht="12.75">
      <c r="B55" s="16" t="s">
        <v>76</v>
      </c>
      <c r="C55" s="6" t="s">
        <v>64</v>
      </c>
      <c r="I55" s="15">
        <v>0</v>
      </c>
    </row>
    <row r="56" ht="12.75">
      <c r="I56" s="14"/>
    </row>
    <row r="57" spans="6:9" ht="12.75">
      <c r="F57" t="s">
        <v>70</v>
      </c>
      <c r="I57" s="14">
        <f>SUM(I25:I55)</f>
        <v>24</v>
      </c>
    </row>
    <row r="58" ht="12.75">
      <c r="I58" s="14"/>
    </row>
    <row r="59" spans="2:9" ht="12.75">
      <c r="B59" s="6" t="s">
        <v>86</v>
      </c>
      <c r="C59" s="6"/>
      <c r="I59" s="14"/>
    </row>
    <row r="60" spans="2:9" ht="12.75">
      <c r="B60" s="6" t="s">
        <v>87</v>
      </c>
      <c r="C60" s="6"/>
      <c r="I60" s="14"/>
    </row>
    <row r="61" spans="2:9" ht="12.75">
      <c r="B61" s="6" t="s">
        <v>88</v>
      </c>
      <c r="C61" s="6"/>
      <c r="I61" s="14"/>
    </row>
    <row r="62" spans="2:9" ht="12.75">
      <c r="B62" s="6" t="s">
        <v>73</v>
      </c>
      <c r="C62" s="6"/>
      <c r="I62" s="14"/>
    </row>
    <row r="63" ht="12.75">
      <c r="I63" s="14"/>
    </row>
    <row r="64" spans="2:9" ht="12.75">
      <c r="B64" s="12" t="s">
        <v>90</v>
      </c>
      <c r="C64" s="13"/>
      <c r="D64" s="13"/>
      <c r="E64" s="13"/>
      <c r="F64" s="13"/>
      <c r="G64" s="13"/>
      <c r="H64" s="13"/>
      <c r="I64" s="19"/>
    </row>
    <row r="65" ht="12.75">
      <c r="I65" s="14"/>
    </row>
    <row r="66" spans="3:7" ht="12.75">
      <c r="C66" s="2" t="s">
        <v>17</v>
      </c>
      <c r="G66" s="23"/>
    </row>
    <row r="67" spans="2:8" ht="12.75">
      <c r="B67" s="22" t="s">
        <v>0</v>
      </c>
      <c r="C67" t="s">
        <v>199</v>
      </c>
      <c r="G67" s="23">
        <v>85000</v>
      </c>
      <c r="H67" s="36" t="s">
        <v>274</v>
      </c>
    </row>
    <row r="68" spans="3:8" ht="12.75">
      <c r="C68" t="s">
        <v>198</v>
      </c>
      <c r="G68" s="23">
        <v>45000</v>
      </c>
      <c r="H68" s="36" t="s">
        <v>275</v>
      </c>
    </row>
    <row r="69" spans="3:7" ht="12.75">
      <c r="C69" t="s">
        <v>203</v>
      </c>
      <c r="G69" s="23">
        <v>7500</v>
      </c>
    </row>
    <row r="70" spans="3:7" ht="12.75">
      <c r="C70" t="s">
        <v>254</v>
      </c>
      <c r="G70" s="23">
        <v>3500</v>
      </c>
    </row>
    <row r="71" spans="3:8" ht="12.75">
      <c r="C71" t="s">
        <v>202</v>
      </c>
      <c r="G71" s="23">
        <v>2500</v>
      </c>
      <c r="H71" t="s">
        <v>201</v>
      </c>
    </row>
    <row r="72" spans="4:7" ht="12.75">
      <c r="D72" t="s">
        <v>109</v>
      </c>
      <c r="G72" s="23">
        <f>SUM(G67:G70)</f>
        <v>141000</v>
      </c>
    </row>
    <row r="73" spans="4:7" ht="12.75">
      <c r="D73" t="s">
        <v>429</v>
      </c>
      <c r="G73" s="73" t="str">
        <f>IF(G72&gt;'Lead Worksheet'!$E$52,"Yes","No")</f>
        <v>Yes</v>
      </c>
    </row>
    <row r="74" ht="12.75">
      <c r="G74" s="73"/>
    </row>
    <row r="75" spans="3:7" ht="12.75">
      <c r="C75" t="s">
        <v>276</v>
      </c>
      <c r="G75" s="23"/>
    </row>
    <row r="76" spans="3:7" ht="12.75">
      <c r="C76" t="s">
        <v>277</v>
      </c>
      <c r="G76" s="23"/>
    </row>
    <row r="77" spans="3:7" ht="12.75">
      <c r="C77" t="s">
        <v>289</v>
      </c>
      <c r="G77" s="23"/>
    </row>
    <row r="78" ht="12.75">
      <c r="G78" s="23"/>
    </row>
    <row r="79" spans="3:7" ht="12.75">
      <c r="C79" s="2" t="s">
        <v>200</v>
      </c>
      <c r="G79" s="23"/>
    </row>
    <row r="80" spans="3:7" ht="12.75">
      <c r="C80" t="s">
        <v>204</v>
      </c>
      <c r="G80" s="23"/>
    </row>
    <row r="81" spans="4:7" ht="12.75">
      <c r="D81" t="s">
        <v>0</v>
      </c>
      <c r="G81" s="23"/>
    </row>
    <row r="82" spans="4:7" ht="12.75">
      <c r="D82" t="s">
        <v>205</v>
      </c>
      <c r="G82" s="23">
        <v>3500</v>
      </c>
    </row>
    <row r="83" spans="4:7" ht="12.75">
      <c r="D83" t="s">
        <v>206</v>
      </c>
      <c r="G83" s="23">
        <v>7500</v>
      </c>
    </row>
    <row r="84" spans="4:7" ht="12.75">
      <c r="D84" t="s">
        <v>207</v>
      </c>
      <c r="G84" s="23">
        <v>5000</v>
      </c>
    </row>
    <row r="85" spans="5:7" ht="12.75">
      <c r="E85" t="s">
        <v>211</v>
      </c>
      <c r="G85" s="23">
        <f>SUM(G82:G84)</f>
        <v>16000</v>
      </c>
    </row>
    <row r="86" spans="4:7" ht="12.75">
      <c r="D86" t="s">
        <v>208</v>
      </c>
      <c r="G86" s="23">
        <v>6000</v>
      </c>
    </row>
    <row r="87" spans="4:7" ht="12.75">
      <c r="D87" t="s">
        <v>209</v>
      </c>
      <c r="G87" s="23">
        <v>4000</v>
      </c>
    </row>
    <row r="88" spans="5:7" ht="12.75">
      <c r="E88" t="s">
        <v>210</v>
      </c>
      <c r="G88" s="23">
        <f>SUM(G86:G87)</f>
        <v>10000</v>
      </c>
    </row>
    <row r="89" spans="4:7" ht="12.75">
      <c r="D89" t="s">
        <v>212</v>
      </c>
      <c r="G89" s="23">
        <f>G85-G88</f>
        <v>6000</v>
      </c>
    </row>
    <row r="90" spans="4:7" ht="12.75">
      <c r="D90" t="s">
        <v>213</v>
      </c>
      <c r="G90" s="23">
        <v>60000</v>
      </c>
    </row>
    <row r="91" spans="4:7" ht="12.75">
      <c r="D91" t="s">
        <v>214</v>
      </c>
      <c r="G91" s="26">
        <f>G89/G90</f>
        <v>0.1</v>
      </c>
    </row>
    <row r="93" ht="12.75">
      <c r="C93" s="6" t="s">
        <v>283</v>
      </c>
    </row>
    <row r="94" ht="12.75">
      <c r="C94" s="6"/>
    </row>
    <row r="95" ht="12.75">
      <c r="C95" s="2" t="s">
        <v>290</v>
      </c>
    </row>
    <row r="96" ht="12.75">
      <c r="C96" s="6"/>
    </row>
    <row r="97" spans="3:7" ht="12.75">
      <c r="C97" s="28" t="s">
        <v>291</v>
      </c>
      <c r="D97" s="28"/>
      <c r="E97" s="28"/>
      <c r="F97" s="28"/>
      <c r="G97" s="28"/>
    </row>
    <row r="98" spans="3:10" ht="12.75">
      <c r="C98" s="28" t="s">
        <v>292</v>
      </c>
      <c r="D98" s="28"/>
      <c r="E98" s="28"/>
      <c r="F98" s="28"/>
      <c r="G98" s="28"/>
      <c r="H98" s="28"/>
      <c r="I98" s="28"/>
      <c r="J98" s="28"/>
    </row>
    <row r="99" spans="3:11" ht="12.75">
      <c r="C99" s="28"/>
      <c r="D99" s="28"/>
      <c r="E99" s="28" t="s">
        <v>0</v>
      </c>
      <c r="F99" s="28" t="s">
        <v>0</v>
      </c>
      <c r="G99" s="37" t="s">
        <v>26</v>
      </c>
      <c r="H99" s="37" t="s">
        <v>27</v>
      </c>
      <c r="I99" s="37" t="s">
        <v>28</v>
      </c>
      <c r="J99" s="37" t="s">
        <v>29</v>
      </c>
      <c r="K99" s="7" t="s">
        <v>30</v>
      </c>
    </row>
    <row r="100" spans="3:11" ht="12.75">
      <c r="C100" s="28" t="s">
        <v>293</v>
      </c>
      <c r="D100" s="28"/>
      <c r="E100" s="28"/>
      <c r="F100" s="28"/>
      <c r="G100" s="29">
        <v>-4000</v>
      </c>
      <c r="H100" s="29">
        <v>-5000</v>
      </c>
      <c r="I100" s="29">
        <v>-3000</v>
      </c>
      <c r="J100" s="29">
        <v>-1500</v>
      </c>
      <c r="K100" s="23">
        <v>-500</v>
      </c>
    </row>
    <row r="101" spans="3:11" ht="12.75">
      <c r="C101" s="28" t="s">
        <v>294</v>
      </c>
      <c r="D101" s="28"/>
      <c r="E101" s="28"/>
      <c r="F101" s="28"/>
      <c r="G101" s="29">
        <v>1500</v>
      </c>
      <c r="H101" s="29">
        <v>2000</v>
      </c>
      <c r="I101" s="29">
        <v>1200</v>
      </c>
      <c r="J101" s="29">
        <v>700</v>
      </c>
      <c r="K101" s="23">
        <v>100</v>
      </c>
    </row>
    <row r="102" spans="3:11" ht="12.75">
      <c r="C102" s="28" t="s">
        <v>295</v>
      </c>
      <c r="D102" s="28"/>
      <c r="E102" s="28"/>
      <c r="F102" s="28"/>
      <c r="G102" s="29">
        <f>SUM(G100:G101)</f>
        <v>-2500</v>
      </c>
      <c r="H102" s="29">
        <f>SUM(H100:H101)</f>
        <v>-3000</v>
      </c>
      <c r="I102" s="29">
        <f>SUM(I100:I101)</f>
        <v>-1800</v>
      </c>
      <c r="J102" s="29">
        <f>SUM(J100:J101)</f>
        <v>-800</v>
      </c>
      <c r="K102" s="29">
        <f>SUM(K100:K101)</f>
        <v>-400</v>
      </c>
    </row>
    <row r="103" spans="3:10" ht="12.75">
      <c r="C103" s="28"/>
      <c r="D103" s="28"/>
      <c r="E103" s="28"/>
      <c r="F103" s="28"/>
      <c r="G103" s="28"/>
      <c r="H103" s="28"/>
      <c r="I103" s="28"/>
      <c r="J103" s="28"/>
    </row>
    <row r="104" spans="3:17" ht="12.75">
      <c r="C104" s="2" t="s">
        <v>215</v>
      </c>
      <c r="L104" t="s">
        <v>0</v>
      </c>
      <c r="Q104" s="7" t="s">
        <v>183</v>
      </c>
    </row>
    <row r="105" spans="7:17" ht="12.75">
      <c r="G105" s="7" t="s">
        <v>25</v>
      </c>
      <c r="H105" s="7" t="s">
        <v>25</v>
      </c>
      <c r="I105" s="7" t="s">
        <v>25</v>
      </c>
      <c r="J105" s="7" t="s">
        <v>25</v>
      </c>
      <c r="K105" s="7" t="s">
        <v>25</v>
      </c>
      <c r="L105" s="7" t="s">
        <v>25</v>
      </c>
      <c r="M105" s="7" t="s">
        <v>25</v>
      </c>
      <c r="N105" s="7" t="s">
        <v>25</v>
      </c>
      <c r="O105" s="7" t="s">
        <v>25</v>
      </c>
      <c r="P105" s="7" t="s">
        <v>25</v>
      </c>
      <c r="Q105" s="7" t="s">
        <v>285</v>
      </c>
    </row>
    <row r="106" spans="7:17" ht="12.75">
      <c r="G106" s="7">
        <v>1</v>
      </c>
      <c r="H106" s="7">
        <v>2</v>
      </c>
      <c r="I106" s="7">
        <v>3</v>
      </c>
      <c r="J106" s="7">
        <v>4</v>
      </c>
      <c r="K106" s="7">
        <v>5</v>
      </c>
      <c r="L106" s="7">
        <v>6</v>
      </c>
      <c r="M106" s="7">
        <v>7</v>
      </c>
      <c r="N106" s="7">
        <v>8</v>
      </c>
      <c r="O106" s="7">
        <v>9</v>
      </c>
      <c r="P106" s="7">
        <v>10</v>
      </c>
      <c r="Q106" s="7" t="s">
        <v>298</v>
      </c>
    </row>
    <row r="107" spans="3:17" ht="12.75">
      <c r="C107" t="s">
        <v>213</v>
      </c>
      <c r="G107" s="23">
        <v>65000</v>
      </c>
      <c r="H107" s="23">
        <v>75000</v>
      </c>
      <c r="I107" s="23">
        <v>100000</v>
      </c>
      <c r="J107" s="23">
        <v>125000</v>
      </c>
      <c r="K107" s="23">
        <v>135000</v>
      </c>
      <c r="L107" s="23">
        <v>140000</v>
      </c>
      <c r="M107" s="23">
        <v>145000</v>
      </c>
      <c r="N107" s="23">
        <v>149000</v>
      </c>
      <c r="O107" s="23">
        <v>153000</v>
      </c>
      <c r="P107" s="23">
        <v>155000</v>
      </c>
      <c r="Q107" s="23">
        <v>160000</v>
      </c>
    </row>
    <row r="108" spans="3:17" ht="12.75">
      <c r="C108" t="s">
        <v>264</v>
      </c>
      <c r="G108" s="23"/>
      <c r="H108" s="23"/>
      <c r="I108" s="23"/>
      <c r="J108" s="23"/>
      <c r="K108" s="23"/>
      <c r="L108" s="23"/>
      <c r="M108" s="23"/>
      <c r="N108" s="23"/>
      <c r="O108" s="23"/>
      <c r="P108" s="23"/>
      <c r="Q108" s="23"/>
    </row>
    <row r="109" spans="4:17" ht="12.75">
      <c r="D109" t="s">
        <v>270</v>
      </c>
      <c r="G109" s="23">
        <v>-15000</v>
      </c>
      <c r="H109" s="23">
        <v>-18000</v>
      </c>
      <c r="I109" s="23">
        <v>-22000</v>
      </c>
      <c r="J109" s="23">
        <v>-25000</v>
      </c>
      <c r="K109" s="23">
        <v>-30000</v>
      </c>
      <c r="L109" s="23">
        <v>-32000</v>
      </c>
      <c r="M109" s="23">
        <v>-35000</v>
      </c>
      <c r="N109" s="23">
        <v>-36000</v>
      </c>
      <c r="O109" s="23">
        <v>-36500</v>
      </c>
      <c r="P109" s="23">
        <v>-37000</v>
      </c>
      <c r="Q109" s="23">
        <v>-40000</v>
      </c>
    </row>
    <row r="110" spans="4:17" ht="12.75">
      <c r="D110" t="s">
        <v>269</v>
      </c>
      <c r="G110" s="23">
        <v>-8000</v>
      </c>
      <c r="H110" s="23">
        <v>-10000</v>
      </c>
      <c r="I110" s="23">
        <v>-15000</v>
      </c>
      <c r="J110" s="23">
        <v>-18000</v>
      </c>
      <c r="K110" s="23">
        <v>-19000</v>
      </c>
      <c r="L110" s="23">
        <v>-15000</v>
      </c>
      <c r="M110" s="23">
        <v>-15000</v>
      </c>
      <c r="N110" s="23">
        <v>-15000</v>
      </c>
      <c r="O110" s="23">
        <v>-15000</v>
      </c>
      <c r="P110" s="23">
        <v>-15000</v>
      </c>
      <c r="Q110" s="23">
        <v>-18000</v>
      </c>
    </row>
    <row r="111" spans="4:17" ht="12.75">
      <c r="D111" t="s">
        <v>297</v>
      </c>
      <c r="G111" s="23">
        <v>-22000</v>
      </c>
      <c r="H111" s="23">
        <v>-28000</v>
      </c>
      <c r="I111" s="23">
        <v>-30000</v>
      </c>
      <c r="J111" s="23">
        <v>-32000</v>
      </c>
      <c r="K111" s="23">
        <v>-35000</v>
      </c>
      <c r="L111" s="23">
        <v>-36000</v>
      </c>
      <c r="M111" s="23">
        <v>-37000</v>
      </c>
      <c r="N111" s="23">
        <v>-37000</v>
      </c>
      <c r="O111" s="23">
        <v>-37000</v>
      </c>
      <c r="P111" s="23">
        <v>-37000</v>
      </c>
      <c r="Q111" s="23">
        <v>-40000</v>
      </c>
    </row>
    <row r="112" spans="3:17" ht="12.75">
      <c r="C112" t="s">
        <v>296</v>
      </c>
      <c r="G112" s="23">
        <f>G102</f>
        <v>-2500</v>
      </c>
      <c r="H112" s="23">
        <f>H102</f>
        <v>-3000</v>
      </c>
      <c r="I112" s="23">
        <f>I102</f>
        <v>-1800</v>
      </c>
      <c r="J112" s="23">
        <f>J102</f>
        <v>-800</v>
      </c>
      <c r="K112" s="23">
        <f>K102</f>
        <v>-400</v>
      </c>
      <c r="L112" s="23">
        <v>0</v>
      </c>
      <c r="M112" s="23">
        <v>0</v>
      </c>
      <c r="N112" s="23">
        <v>0</v>
      </c>
      <c r="O112" s="23">
        <v>0</v>
      </c>
      <c r="P112" s="23">
        <v>0</v>
      </c>
      <c r="Q112" s="23">
        <v>0</v>
      </c>
    </row>
    <row r="113" spans="3:17" ht="12.75">
      <c r="C113" t="s">
        <v>271</v>
      </c>
      <c r="G113" s="23">
        <f aca="true" t="shared" si="0" ref="G113:Q113">SUM(G107:G112)</f>
        <v>17500</v>
      </c>
      <c r="H113" s="23">
        <f t="shared" si="0"/>
        <v>16000</v>
      </c>
      <c r="I113" s="23">
        <f t="shared" si="0"/>
        <v>31200</v>
      </c>
      <c r="J113" s="23">
        <f t="shared" si="0"/>
        <v>49200</v>
      </c>
      <c r="K113" s="23">
        <f t="shared" si="0"/>
        <v>50600</v>
      </c>
      <c r="L113" s="23">
        <f t="shared" si="0"/>
        <v>57000</v>
      </c>
      <c r="M113" s="23">
        <f t="shared" si="0"/>
        <v>58000</v>
      </c>
      <c r="N113" s="23">
        <f t="shared" si="0"/>
        <v>61000</v>
      </c>
      <c r="O113" s="23">
        <f t="shared" si="0"/>
        <v>64500</v>
      </c>
      <c r="P113" s="23">
        <f t="shared" si="0"/>
        <v>66000</v>
      </c>
      <c r="Q113" s="23">
        <f t="shared" si="0"/>
        <v>62000</v>
      </c>
    </row>
    <row r="114" spans="3:17" ht="12.75">
      <c r="C114" t="s">
        <v>22</v>
      </c>
      <c r="G114" s="23">
        <f>MAX('Lead Worksheet'!$E$50*G113,0)*-1</f>
        <v>-4812.5</v>
      </c>
      <c r="H114" s="23">
        <f>MAX('Lead Worksheet'!$E$50*H113,0)*-1</f>
        <v>-4400</v>
      </c>
      <c r="I114" s="23">
        <f>MAX('Lead Worksheet'!$E$50*I113,0)*-1</f>
        <v>-8580</v>
      </c>
      <c r="J114" s="23">
        <f>MAX('Lead Worksheet'!$E$50*J113,0)*-1</f>
        <v>-13530.000000000002</v>
      </c>
      <c r="K114" s="23">
        <f>MAX('Lead Worksheet'!$E$50*K113,0)*-1</f>
        <v>-13915.000000000002</v>
      </c>
      <c r="L114" s="23">
        <f>MAX('Lead Worksheet'!$E$50*L113,0)*-1</f>
        <v>-15675.000000000002</v>
      </c>
      <c r="M114" s="23">
        <f>MAX('Lead Worksheet'!$E$50*M113,0)*-1</f>
        <v>-15950.000000000002</v>
      </c>
      <c r="N114" s="23">
        <f>MAX('Lead Worksheet'!$E$50*N113,0)*-1</f>
        <v>-16775</v>
      </c>
      <c r="O114" s="23">
        <f>MAX('Lead Worksheet'!$E$50*O113,0)*-1</f>
        <v>-17737.5</v>
      </c>
      <c r="P114" s="23">
        <f>MAX('Lead Worksheet'!$E$50*P113,0)*-1</f>
        <v>-18150</v>
      </c>
      <c r="Q114" s="23">
        <f>MAX('Lead Worksheet'!$E$50*Q113,0)*-1</f>
        <v>-17050</v>
      </c>
    </row>
    <row r="115" spans="3:17" ht="12.75">
      <c r="C115" t="s">
        <v>272</v>
      </c>
      <c r="G115" s="23">
        <v>50</v>
      </c>
      <c r="H115" s="23">
        <v>0</v>
      </c>
      <c r="I115" s="23">
        <v>0</v>
      </c>
      <c r="J115" s="23">
        <v>0</v>
      </c>
      <c r="K115" s="23">
        <v>0</v>
      </c>
      <c r="L115" s="23">
        <v>0</v>
      </c>
      <c r="M115" s="23">
        <v>0</v>
      </c>
      <c r="N115" s="23">
        <v>0</v>
      </c>
      <c r="O115" s="23">
        <v>0</v>
      </c>
      <c r="P115" s="23">
        <v>0</v>
      </c>
      <c r="Q115" s="23">
        <v>0</v>
      </c>
    </row>
    <row r="116" spans="3:17" ht="12.75">
      <c r="C116" t="s">
        <v>273</v>
      </c>
      <c r="G116" s="23">
        <f>SUM(G113:G115)</f>
        <v>12737.5</v>
      </c>
      <c r="H116" s="23">
        <f aca="true" t="shared" si="1" ref="H116:M116">SUM(H113:H115)</f>
        <v>11600</v>
      </c>
      <c r="I116" s="23">
        <f t="shared" si="1"/>
        <v>22620</v>
      </c>
      <c r="J116" s="23">
        <f t="shared" si="1"/>
        <v>35670</v>
      </c>
      <c r="K116" s="23">
        <f t="shared" si="1"/>
        <v>36685</v>
      </c>
      <c r="L116" s="23">
        <f t="shared" si="1"/>
        <v>41325</v>
      </c>
      <c r="M116" s="23">
        <f t="shared" si="1"/>
        <v>42050</v>
      </c>
      <c r="N116" s="23">
        <f>SUM(N113:N115)</f>
        <v>44225</v>
      </c>
      <c r="O116" s="23">
        <f>SUM(O113:O115)</f>
        <v>46762.5</v>
      </c>
      <c r="P116" s="23">
        <f>SUM(P113:P115)</f>
        <v>47850</v>
      </c>
      <c r="Q116" s="23">
        <f>SUM(Q113:Q115)</f>
        <v>44950</v>
      </c>
    </row>
    <row r="117" spans="3:17" ht="12.75">
      <c r="C117" t="s">
        <v>117</v>
      </c>
      <c r="G117" s="23"/>
      <c r="H117" s="23"/>
      <c r="I117" s="23"/>
      <c r="J117" s="23"/>
      <c r="K117" s="23"/>
      <c r="Q117" s="23"/>
    </row>
    <row r="118" spans="4:17" ht="12.75">
      <c r="D118" t="s">
        <v>278</v>
      </c>
      <c r="G118" s="23"/>
      <c r="H118" s="23"/>
      <c r="I118" s="23"/>
      <c r="J118" s="23"/>
      <c r="K118" s="23"/>
      <c r="Q118" s="23"/>
    </row>
    <row r="119" spans="3:17" ht="12.75">
      <c r="C119" t="s">
        <v>280</v>
      </c>
      <c r="E119">
        <v>30</v>
      </c>
      <c r="G119" s="23">
        <f>SLN($G$67,,$E$119)</f>
        <v>2833.3333333333335</v>
      </c>
      <c r="H119" s="23">
        <f aca="true" t="shared" si="2" ref="H119:P119">SLN($G$67,,$E$119)</f>
        <v>2833.3333333333335</v>
      </c>
      <c r="I119" s="23">
        <f t="shared" si="2"/>
        <v>2833.3333333333335</v>
      </c>
      <c r="J119" s="23">
        <f t="shared" si="2"/>
        <v>2833.3333333333335</v>
      </c>
      <c r="K119" s="23">
        <f t="shared" si="2"/>
        <v>2833.3333333333335</v>
      </c>
      <c r="L119" s="23">
        <f t="shared" si="2"/>
        <v>2833.3333333333335</v>
      </c>
      <c r="M119" s="23">
        <f t="shared" si="2"/>
        <v>2833.3333333333335</v>
      </c>
      <c r="N119" s="23">
        <f t="shared" si="2"/>
        <v>2833.3333333333335</v>
      </c>
      <c r="O119" s="23">
        <f t="shared" si="2"/>
        <v>2833.3333333333335</v>
      </c>
      <c r="P119" s="23">
        <f t="shared" si="2"/>
        <v>2833.3333333333335</v>
      </c>
      <c r="Q119" s="23">
        <v>2500</v>
      </c>
    </row>
    <row r="120" spans="4:17" ht="12.75">
      <c r="D120" t="s">
        <v>279</v>
      </c>
      <c r="G120" s="23"/>
      <c r="H120" s="23"/>
      <c r="I120" s="23"/>
      <c r="J120" s="23"/>
      <c r="K120" s="23"/>
      <c r="Q120" s="23"/>
    </row>
    <row r="121" spans="4:17" ht="12.75">
      <c r="D121" t="s">
        <v>0</v>
      </c>
      <c r="E121">
        <v>12</v>
      </c>
      <c r="G121" s="23">
        <f>SYD($G$68,,$E$121,G106)</f>
        <v>6923.076923076923</v>
      </c>
      <c r="H121" s="23">
        <f aca="true" t="shared" si="3" ref="H121:P121">SYD($G$68,,$E$121,H106)</f>
        <v>6346.153846153846</v>
      </c>
      <c r="I121" s="23">
        <f t="shared" si="3"/>
        <v>5769.2307692307695</v>
      </c>
      <c r="J121" s="23">
        <f t="shared" si="3"/>
        <v>5192.307692307692</v>
      </c>
      <c r="K121" s="23">
        <f t="shared" si="3"/>
        <v>4615.384615384615</v>
      </c>
      <c r="L121" s="23">
        <f t="shared" si="3"/>
        <v>4038.4615384615386</v>
      </c>
      <c r="M121" s="23">
        <f t="shared" si="3"/>
        <v>3461.5384615384614</v>
      </c>
      <c r="N121" s="23">
        <f t="shared" si="3"/>
        <v>2884.6153846153848</v>
      </c>
      <c r="O121" s="23">
        <f t="shared" si="3"/>
        <v>2307.6923076923076</v>
      </c>
      <c r="P121" s="23">
        <f t="shared" si="3"/>
        <v>1730.7692307692307</v>
      </c>
      <c r="Q121" s="23">
        <v>0</v>
      </c>
    </row>
    <row r="122" spans="3:17" ht="12.75">
      <c r="C122" t="s">
        <v>253</v>
      </c>
      <c r="G122" s="23">
        <f>SUM(G116:G121)</f>
        <v>22493.910256410258</v>
      </c>
      <c r="H122" s="23">
        <f aca="true" t="shared" si="4" ref="H122:M122">SUM(H116:H121)</f>
        <v>20779.48717948718</v>
      </c>
      <c r="I122" s="23">
        <f t="shared" si="4"/>
        <v>31222.5641025641</v>
      </c>
      <c r="J122" s="23">
        <f t="shared" si="4"/>
        <v>43695.64102564103</v>
      </c>
      <c r="K122" s="23">
        <f t="shared" si="4"/>
        <v>44133.71794871795</v>
      </c>
      <c r="L122" s="23">
        <f t="shared" si="4"/>
        <v>48196.794871794875</v>
      </c>
      <c r="M122" s="23">
        <f t="shared" si="4"/>
        <v>48344.8717948718</v>
      </c>
      <c r="N122" s="23">
        <f>SUM(N116:N121)</f>
        <v>49942.94871794872</v>
      </c>
      <c r="O122" s="23">
        <f>SUM(O116:O121)</f>
        <v>51903.52564102564</v>
      </c>
      <c r="P122" s="23">
        <f>SUM(P116:P121)</f>
        <v>52414.10256410257</v>
      </c>
      <c r="Q122" s="23">
        <f>SUM(Q116:Q121)</f>
        <v>47450</v>
      </c>
    </row>
    <row r="123" spans="3:17" ht="12.75">
      <c r="C123" t="s">
        <v>212</v>
      </c>
      <c r="G123" s="23">
        <f>$G$91*G107*-1</f>
        <v>-6500</v>
      </c>
      <c r="H123" s="23">
        <f aca="true" t="shared" si="5" ref="H123:Q123">$G$91*H107*-1</f>
        <v>-7500</v>
      </c>
      <c r="I123" s="23">
        <f t="shared" si="5"/>
        <v>-10000</v>
      </c>
      <c r="J123" s="23">
        <f t="shared" si="5"/>
        <v>-12500</v>
      </c>
      <c r="K123" s="23">
        <f t="shared" si="5"/>
        <v>-13500</v>
      </c>
      <c r="L123" s="23">
        <f t="shared" si="5"/>
        <v>-14000</v>
      </c>
      <c r="M123" s="23">
        <f t="shared" si="5"/>
        <v>-14500</v>
      </c>
      <c r="N123" s="23">
        <f t="shared" si="5"/>
        <v>-14900</v>
      </c>
      <c r="O123" s="23">
        <f t="shared" si="5"/>
        <v>-15300</v>
      </c>
      <c r="P123" s="23">
        <f t="shared" si="5"/>
        <v>-15500</v>
      </c>
      <c r="Q123" s="23">
        <f t="shared" si="5"/>
        <v>-16000</v>
      </c>
    </row>
    <row r="124" spans="3:17" ht="12.75">
      <c r="C124" t="s">
        <v>281</v>
      </c>
      <c r="G124" s="23">
        <v>-1500</v>
      </c>
      <c r="H124" s="23">
        <v>-2500</v>
      </c>
      <c r="I124" s="23">
        <v>-3500</v>
      </c>
      <c r="J124" s="23">
        <v>-500</v>
      </c>
      <c r="K124" s="23">
        <v>0</v>
      </c>
      <c r="L124" s="23">
        <v>0</v>
      </c>
      <c r="M124" s="23">
        <v>0</v>
      </c>
      <c r="N124" s="23">
        <v>0</v>
      </c>
      <c r="O124" s="23">
        <v>0</v>
      </c>
      <c r="P124" s="23">
        <v>0</v>
      </c>
      <c r="Q124" s="23">
        <v>0</v>
      </c>
    </row>
    <row r="125" spans="4:17" ht="12.75">
      <c r="D125" t="s">
        <v>282</v>
      </c>
      <c r="G125" s="23">
        <f aca="true" t="shared" si="6" ref="G125:Q125">SUM(G122:G124)</f>
        <v>14493.910256410258</v>
      </c>
      <c r="H125" s="23">
        <f t="shared" si="6"/>
        <v>10779.48717948718</v>
      </c>
      <c r="I125" s="23">
        <f t="shared" si="6"/>
        <v>17722.5641025641</v>
      </c>
      <c r="J125" s="23">
        <f t="shared" si="6"/>
        <v>30695.64102564103</v>
      </c>
      <c r="K125" s="23">
        <f t="shared" si="6"/>
        <v>30633.717948717953</v>
      </c>
      <c r="L125" s="23">
        <f t="shared" si="6"/>
        <v>34196.794871794875</v>
      </c>
      <c r="M125" s="23">
        <f t="shared" si="6"/>
        <v>33844.8717948718</v>
      </c>
      <c r="N125" s="23">
        <f t="shared" si="6"/>
        <v>35042.94871794872</v>
      </c>
      <c r="O125" s="23">
        <f t="shared" si="6"/>
        <v>36603.52564102564</v>
      </c>
      <c r="P125" s="23">
        <f t="shared" si="6"/>
        <v>36914.10256410257</v>
      </c>
      <c r="Q125" s="23">
        <f t="shared" si="6"/>
        <v>31450</v>
      </c>
    </row>
    <row r="126" spans="7:17" ht="12.75">
      <c r="G126" s="23"/>
      <c r="H126" s="23"/>
      <c r="I126" s="23"/>
      <c r="J126" s="23"/>
      <c r="K126" s="23"/>
      <c r="Q126" s="23"/>
    </row>
    <row r="127" spans="3:17" ht="12.75">
      <c r="C127" t="s">
        <v>0</v>
      </c>
      <c r="G127" s="23"/>
      <c r="H127" s="23"/>
      <c r="I127" s="23"/>
      <c r="J127" s="23"/>
      <c r="K127" s="23"/>
      <c r="Q127" s="23"/>
    </row>
    <row r="128" spans="2:17" ht="12.75">
      <c r="B128" s="12" t="s">
        <v>89</v>
      </c>
      <c r="C128" s="13"/>
      <c r="D128" s="13"/>
      <c r="E128" s="13"/>
      <c r="F128" s="13"/>
      <c r="G128" s="13"/>
      <c r="H128" s="13"/>
      <c r="I128" s="13"/>
      <c r="J128" s="23"/>
      <c r="Q128" s="23"/>
    </row>
    <row r="129" spans="4:17" ht="12.75">
      <c r="D129" t="s">
        <v>0</v>
      </c>
      <c r="H129" t="s">
        <v>0</v>
      </c>
      <c r="Q129" s="23"/>
    </row>
    <row r="130" spans="3:17" ht="12.75">
      <c r="C130" t="s">
        <v>157</v>
      </c>
      <c r="I130" t="s">
        <v>0</v>
      </c>
      <c r="Q130" s="23"/>
    </row>
    <row r="131" spans="5:17" ht="12.75">
      <c r="E131" s="7" t="s">
        <v>205</v>
      </c>
      <c r="F131" s="7" t="s">
        <v>161</v>
      </c>
      <c r="G131" s="7" t="s">
        <v>0</v>
      </c>
      <c r="I131" s="31"/>
      <c r="J131" s="31"/>
      <c r="K131" s="31"/>
      <c r="L131" s="31"/>
      <c r="Q131" s="23"/>
    </row>
    <row r="132" spans="4:17" ht="12.75">
      <c r="D132" s="7" t="s">
        <v>25</v>
      </c>
      <c r="E132" s="7" t="s">
        <v>262</v>
      </c>
      <c r="F132" s="7" t="s">
        <v>162</v>
      </c>
      <c r="G132" s="7" t="s">
        <v>165</v>
      </c>
      <c r="Q132" s="23"/>
    </row>
    <row r="133" spans="4:17" ht="12.75">
      <c r="D133">
        <v>0</v>
      </c>
      <c r="E133" s="23">
        <f>G72*-1</f>
        <v>-141000</v>
      </c>
      <c r="F133" s="23">
        <f>E133</f>
        <v>-141000</v>
      </c>
      <c r="Q133" s="23"/>
    </row>
    <row r="134" spans="4:17" ht="12.75">
      <c r="D134">
        <v>1</v>
      </c>
      <c r="E134" s="23">
        <f>G125</f>
        <v>14493.910256410258</v>
      </c>
      <c r="F134" s="23">
        <f>E134/(1+$H$156)^D134</f>
        <v>12883.475783475784</v>
      </c>
      <c r="G134" s="23">
        <f>SUM($F$133:F134)</f>
        <v>-128116.52421652421</v>
      </c>
      <c r="Q134" s="23"/>
    </row>
    <row r="135" spans="4:17" ht="12.75">
      <c r="D135">
        <v>2</v>
      </c>
      <c r="E135" s="23">
        <f>H125</f>
        <v>10779.48717948718</v>
      </c>
      <c r="F135" s="23">
        <f aca="true" t="shared" si="7" ref="F135:F153">E135/(1+$H$156)^D135</f>
        <v>8517.125672681228</v>
      </c>
      <c r="G135" s="23">
        <f>SUM($F$133:F135)</f>
        <v>-119599.39854384298</v>
      </c>
      <c r="Q135" s="23"/>
    </row>
    <row r="136" spans="4:17" ht="12.75">
      <c r="D136">
        <v>3</v>
      </c>
      <c r="E136" s="23">
        <f>I125</f>
        <v>17722.5641025641</v>
      </c>
      <c r="F136" s="23">
        <f t="shared" si="7"/>
        <v>12447.12321058</v>
      </c>
      <c r="G136" s="23">
        <f>SUM($F$133:F136)</f>
        <v>-107152.27533326298</v>
      </c>
      <c r="Q136" s="23"/>
    </row>
    <row r="137" spans="4:17" ht="12.75">
      <c r="D137">
        <v>4</v>
      </c>
      <c r="E137" s="23">
        <f>J125</f>
        <v>30695.64102564103</v>
      </c>
      <c r="F137" s="23">
        <f t="shared" si="7"/>
        <v>19163.137576745263</v>
      </c>
      <c r="G137" s="23">
        <f>SUM($F$133:F137)</f>
        <v>-87989.13775651771</v>
      </c>
      <c r="Q137" s="23"/>
    </row>
    <row r="138" spans="4:17" ht="12.75">
      <c r="D138">
        <v>5</v>
      </c>
      <c r="E138" s="23">
        <f>K125</f>
        <v>30633.717948717953</v>
      </c>
      <c r="F138" s="23">
        <f t="shared" si="7"/>
        <v>16999.537159707867</v>
      </c>
      <c r="G138" s="23">
        <f>SUM($F$133:F138)</f>
        <v>-70989.60059680985</v>
      </c>
      <c r="Q138" s="23"/>
    </row>
    <row r="139" spans="4:17" ht="12.75">
      <c r="D139">
        <v>6</v>
      </c>
      <c r="E139" s="23">
        <f>L125</f>
        <v>34196.794871794875</v>
      </c>
      <c r="F139" s="23">
        <f t="shared" si="7"/>
        <v>16868.259307941607</v>
      </c>
      <c r="G139" s="23">
        <f>SUM($F$133:F139)</f>
        <v>-54121.341288868236</v>
      </c>
      <c r="Q139" s="23"/>
    </row>
    <row r="140" spans="4:17" ht="12.75">
      <c r="D140">
        <v>7</v>
      </c>
      <c r="E140" s="23">
        <f>M125</f>
        <v>33844.8717948718</v>
      </c>
      <c r="F140" s="23">
        <f t="shared" si="7"/>
        <v>14839.703241722658</v>
      </c>
      <c r="G140" s="23">
        <f>SUM($F$133:F140)</f>
        <v>-39281.63804714558</v>
      </c>
      <c r="I140" s="31"/>
      <c r="J140" s="31"/>
      <c r="K140" s="31"/>
      <c r="L140" s="22"/>
      <c r="Q140" s="23"/>
    </row>
    <row r="141" spans="4:17" ht="12.75">
      <c r="D141">
        <v>8</v>
      </c>
      <c r="E141" s="23">
        <f>N125</f>
        <v>35042.94871794872</v>
      </c>
      <c r="F141" s="23">
        <f t="shared" si="7"/>
        <v>13657.791029378259</v>
      </c>
      <c r="G141" s="23">
        <f>SUM($F$133:F141)</f>
        <v>-25623.84701776732</v>
      </c>
      <c r="I141" s="31"/>
      <c r="J141" s="31"/>
      <c r="K141" s="31"/>
      <c r="L141" s="22"/>
      <c r="Q141" s="23"/>
    </row>
    <row r="142" spans="4:17" ht="12.75">
      <c r="D142">
        <v>9</v>
      </c>
      <c r="E142" s="23">
        <f>O125</f>
        <v>36603.52564102564</v>
      </c>
      <c r="F142" s="23">
        <f t="shared" si="7"/>
        <v>12680.904050813391</v>
      </c>
      <c r="G142" s="23">
        <f>SUM($F$133:F142)</f>
        <v>-12942.942966953928</v>
      </c>
      <c r="I142" s="31"/>
      <c r="J142" s="31"/>
      <c r="K142" s="31"/>
      <c r="L142" s="22"/>
      <c r="Q142" s="23"/>
    </row>
    <row r="143" spans="4:12" ht="12.75">
      <c r="D143">
        <v>10</v>
      </c>
      <c r="E143" s="23">
        <f>P125</f>
        <v>36914.10256410257</v>
      </c>
      <c r="F143" s="23">
        <f t="shared" si="7"/>
        <v>11367.555678846968</v>
      </c>
      <c r="G143" s="23">
        <f>SUM($F$133:F143)</f>
        <v>-1575.38728810696</v>
      </c>
      <c r="I143" s="31"/>
      <c r="J143" s="31"/>
      <c r="K143" s="31"/>
      <c r="L143" s="22"/>
    </row>
    <row r="144" spans="4:12" ht="12.75">
      <c r="D144">
        <v>11</v>
      </c>
      <c r="E144" s="23">
        <f>$Q$125</f>
        <v>31450</v>
      </c>
      <c r="F144" s="23">
        <f t="shared" si="7"/>
        <v>8608.805638956843</v>
      </c>
      <c r="G144" s="23">
        <f>SUM($F$133:F144)</f>
        <v>7033.418350849883</v>
      </c>
      <c r="H144" t="s">
        <v>263</v>
      </c>
      <c r="I144" s="31"/>
      <c r="J144" s="31"/>
      <c r="K144" s="31"/>
      <c r="L144" s="22"/>
    </row>
    <row r="145" spans="4:7" ht="12.75">
      <c r="D145">
        <v>12</v>
      </c>
      <c r="E145" s="23">
        <f aca="true" t="shared" si="8" ref="E145:E153">$Q$125</f>
        <v>31450</v>
      </c>
      <c r="F145" s="23">
        <f t="shared" si="7"/>
        <v>7652.271679072749</v>
      </c>
      <c r="G145" s="23">
        <f>SUM($F$133:F145)</f>
        <v>14685.690029922633</v>
      </c>
    </row>
    <row r="146" spans="4:7" ht="12.75">
      <c r="D146">
        <v>13</v>
      </c>
      <c r="E146" s="23">
        <f t="shared" si="8"/>
        <v>31450</v>
      </c>
      <c r="F146" s="23">
        <f t="shared" si="7"/>
        <v>6802.019270286888</v>
      </c>
      <c r="G146" s="23">
        <f>SUM($F$133:F146)</f>
        <v>21487.70930020952</v>
      </c>
    </row>
    <row r="147" spans="4:8" ht="12.75">
      <c r="D147">
        <v>14</v>
      </c>
      <c r="E147" s="23">
        <f t="shared" si="8"/>
        <v>31450</v>
      </c>
      <c r="F147" s="23">
        <f t="shared" si="7"/>
        <v>6046.239351366123</v>
      </c>
      <c r="G147" s="23">
        <f>SUM($F$133:F147)</f>
        <v>27533.948651575643</v>
      </c>
      <c r="H147" t="s">
        <v>0</v>
      </c>
    </row>
    <row r="148" spans="4:7" ht="12.75">
      <c r="D148">
        <v>15</v>
      </c>
      <c r="E148" s="23">
        <f t="shared" si="8"/>
        <v>31450</v>
      </c>
      <c r="F148" s="23">
        <f t="shared" si="7"/>
        <v>5374.434978992109</v>
      </c>
      <c r="G148" s="23">
        <f>SUM($F$133:F148)</f>
        <v>32908.383630567754</v>
      </c>
    </row>
    <row r="149" spans="4:7" ht="12.75">
      <c r="D149">
        <v>16</v>
      </c>
      <c r="E149" s="23">
        <f t="shared" si="8"/>
        <v>31450</v>
      </c>
      <c r="F149" s="23">
        <f t="shared" si="7"/>
        <v>4777.275536881874</v>
      </c>
      <c r="G149" s="23">
        <f>SUM($F$133:F149)</f>
        <v>37685.65916744963</v>
      </c>
    </row>
    <row r="150" spans="4:7" ht="12.75">
      <c r="D150">
        <v>17</v>
      </c>
      <c r="E150" s="23">
        <f t="shared" si="8"/>
        <v>31450</v>
      </c>
      <c r="F150" s="23">
        <f t="shared" si="7"/>
        <v>4246.467143895</v>
      </c>
      <c r="G150" s="23">
        <f>SUM($F$133:F150)</f>
        <v>41932.12631134463</v>
      </c>
    </row>
    <row r="151" spans="4:7" ht="12.75">
      <c r="D151">
        <v>18</v>
      </c>
      <c r="E151" s="23">
        <f t="shared" si="8"/>
        <v>31450</v>
      </c>
      <c r="F151" s="23">
        <f t="shared" si="7"/>
        <v>3774.637461239999</v>
      </c>
      <c r="G151" s="23">
        <f>SUM($F$133:F151)</f>
        <v>45706.76377258463</v>
      </c>
    </row>
    <row r="152" spans="4:7" ht="12.75">
      <c r="D152">
        <v>19</v>
      </c>
      <c r="E152" s="23">
        <f t="shared" si="8"/>
        <v>31450</v>
      </c>
      <c r="F152" s="23">
        <f t="shared" si="7"/>
        <v>3355.23329888</v>
      </c>
      <c r="G152" s="23">
        <f>SUM($F$133:F152)</f>
        <v>49061.997071464626</v>
      </c>
    </row>
    <row r="153" spans="4:7" ht="12.75">
      <c r="D153">
        <v>20</v>
      </c>
      <c r="E153" s="23">
        <f t="shared" si="8"/>
        <v>31450</v>
      </c>
      <c r="F153" s="23">
        <f t="shared" si="7"/>
        <v>2982.4295990044443</v>
      </c>
      <c r="G153" s="23">
        <f>SUM($F$133:F153)</f>
        <v>52044.42667046907</v>
      </c>
    </row>
    <row r="154" spans="4:6" ht="12.75">
      <c r="D154" t="s">
        <v>159</v>
      </c>
      <c r="F154" s="23">
        <f>SUM(F133:F153)</f>
        <v>52044.42667046907</v>
      </c>
    </row>
    <row r="156" spans="4:8" ht="12.75">
      <c r="D156" t="s">
        <v>160</v>
      </c>
      <c r="H156" s="21">
        <v>0.125</v>
      </c>
    </row>
    <row r="157" spans="4:8" ht="12.75">
      <c r="D157" t="s">
        <v>164</v>
      </c>
      <c r="H157" s="21">
        <v>0.075</v>
      </c>
    </row>
    <row r="159" spans="4:9" ht="12.75">
      <c r="D159" s="11" t="s">
        <v>159</v>
      </c>
      <c r="G159" s="23" t="s">
        <v>0</v>
      </c>
      <c r="H159" s="43">
        <f>NPV(H156,E134:E153)+F133</f>
        <v>52044.426670468994</v>
      </c>
      <c r="I159" t="s">
        <v>0</v>
      </c>
    </row>
    <row r="160" spans="4:9" ht="12.75">
      <c r="D160" s="11" t="s">
        <v>163</v>
      </c>
      <c r="E160" s="11"/>
      <c r="F160" s="11"/>
      <c r="G160" s="11"/>
      <c r="H160" s="39">
        <f>MIRR(E133:E153,,H157)</f>
        <v>0.11356719403025517</v>
      </c>
      <c r="I160" s="11" t="s">
        <v>0</v>
      </c>
    </row>
    <row r="161" spans="4:8" ht="12.75">
      <c r="D161" s="11" t="s">
        <v>168</v>
      </c>
      <c r="H161" s="42">
        <f>11+((G143*-1)/F144)</f>
        <v>11.182997195450431</v>
      </c>
    </row>
    <row r="164" spans="2:9" ht="12.75">
      <c r="B164" s="12" t="s">
        <v>192</v>
      </c>
      <c r="C164" s="13"/>
      <c r="D164" s="13"/>
      <c r="E164" s="13"/>
      <c r="F164" s="13"/>
      <c r="G164" s="13"/>
      <c r="H164" s="13"/>
      <c r="I164" s="13"/>
    </row>
    <row r="166" spans="3:7" ht="12.75">
      <c r="C166" t="s">
        <v>193</v>
      </c>
      <c r="G166" t="str">
        <f>IF(H159&gt;0,"Yes","No")</f>
        <v>Yes</v>
      </c>
    </row>
    <row r="167" spans="3:7" ht="12.75">
      <c r="C167" t="s">
        <v>196</v>
      </c>
      <c r="G167" t="str">
        <f>IF(H160&gt;H156,"Yes","No")</f>
        <v>No</v>
      </c>
    </row>
    <row r="168" spans="3:7" ht="12.75">
      <c r="C168" t="s">
        <v>197</v>
      </c>
      <c r="G168" t="str">
        <f>IF(H161&gt;0,"Yes","No")</f>
        <v>Yes</v>
      </c>
    </row>
    <row r="170" ht="12.75">
      <c r="C170" s="6" t="s">
        <v>194</v>
      </c>
    </row>
    <row r="171" ht="12.75">
      <c r="C171" s="6" t="s">
        <v>195</v>
      </c>
    </row>
    <row r="174" spans="2:9" ht="12.75">
      <c r="B174" s="12" t="s">
        <v>216</v>
      </c>
      <c r="C174" s="13"/>
      <c r="D174" s="13"/>
      <c r="E174" s="13"/>
      <c r="F174" s="13"/>
      <c r="G174" s="13"/>
      <c r="H174" s="13"/>
      <c r="I174" s="13"/>
    </row>
    <row r="176" spans="3:6" ht="12.75">
      <c r="C176" t="s">
        <v>217</v>
      </c>
      <c r="F176" s="26">
        <f>H156-'Lead Worksheet'!$E$51</f>
        <v>0.03</v>
      </c>
    </row>
    <row r="178" ht="12.75">
      <c r="C178" t="s">
        <v>242</v>
      </c>
    </row>
    <row r="179" ht="12.75">
      <c r="C179" t="s">
        <v>243</v>
      </c>
    </row>
    <row r="180" spans="4:10" ht="12.75">
      <c r="D180" t="s">
        <v>219</v>
      </c>
      <c r="I180" s="30">
        <v>1</v>
      </c>
      <c r="J180" t="s">
        <v>244</v>
      </c>
    </row>
    <row r="181" spans="4:10" ht="12.75">
      <c r="D181" t="s">
        <v>220</v>
      </c>
      <c r="I181">
        <v>1</v>
      </c>
      <c r="J181" t="s">
        <v>245</v>
      </c>
    </row>
    <row r="182" spans="4:10" ht="12.75">
      <c r="D182" t="s">
        <v>246</v>
      </c>
      <c r="I182" s="34">
        <f>2-I180</f>
        <v>1</v>
      </c>
      <c r="J182" t="s">
        <v>248</v>
      </c>
    </row>
    <row r="183" spans="4:9" ht="12.75">
      <c r="D183" t="s">
        <v>247</v>
      </c>
      <c r="I183" s="34">
        <f>I181^I182</f>
        <v>1</v>
      </c>
    </row>
    <row r="185" spans="4:9" ht="12.75">
      <c r="D185" t="s">
        <v>249</v>
      </c>
      <c r="I185" s="3">
        <v>0.5</v>
      </c>
    </row>
    <row r="186" spans="4:10" ht="12.75">
      <c r="D186" t="s">
        <v>250</v>
      </c>
      <c r="I186" s="3">
        <v>7</v>
      </c>
      <c r="J186" t="s">
        <v>0</v>
      </c>
    </row>
    <row r="187" spans="4:10" ht="12.75">
      <c r="D187" t="s">
        <v>251</v>
      </c>
      <c r="I187">
        <f>2-I185</f>
        <v>1.5</v>
      </c>
      <c r="J187" t="s">
        <v>0</v>
      </c>
    </row>
    <row r="188" spans="4:9" ht="12.75">
      <c r="D188" s="11" t="s">
        <v>252</v>
      </c>
      <c r="E188" s="11"/>
      <c r="F188" s="11"/>
      <c r="G188" s="11"/>
      <c r="H188" s="11"/>
      <c r="I188" s="44">
        <f>I186^I187</f>
        <v>18.52025917745213</v>
      </c>
    </row>
    <row r="190" ht="12.75">
      <c r="C190" t="s">
        <v>221</v>
      </c>
    </row>
    <row r="191" spans="3:9" ht="12.75">
      <c r="C191" s="22" t="s">
        <v>222</v>
      </c>
      <c r="D191" t="s">
        <v>225</v>
      </c>
      <c r="I191" s="21">
        <v>0.35</v>
      </c>
    </row>
    <row r="192" spans="3:9" ht="12.75">
      <c r="C192" s="22" t="s">
        <v>223</v>
      </c>
      <c r="D192" t="s">
        <v>226</v>
      </c>
      <c r="I192" s="21">
        <v>0.6</v>
      </c>
    </row>
    <row r="193" spans="3:9" ht="12.75">
      <c r="C193" s="22" t="s">
        <v>224</v>
      </c>
      <c r="D193" t="s">
        <v>227</v>
      </c>
      <c r="I193" s="21">
        <v>0.05</v>
      </c>
    </row>
    <row r="194" spans="5:9" ht="12.75">
      <c r="E194" t="s">
        <v>228</v>
      </c>
      <c r="G194" s="26">
        <v>1</v>
      </c>
      <c r="I194" s="26">
        <f>SUM(I191:I193)</f>
        <v>1</v>
      </c>
    </row>
    <row r="196" ht="12.75">
      <c r="C196" s="31" t="s">
        <v>229</v>
      </c>
    </row>
    <row r="197" ht="12.75">
      <c r="C197" s="31"/>
    </row>
    <row r="198" spans="7:9" ht="12.75">
      <c r="G198" s="7" t="s">
        <v>0</v>
      </c>
      <c r="H198" s="7" t="s">
        <v>235</v>
      </c>
      <c r="I198" s="7" t="s">
        <v>237</v>
      </c>
    </row>
    <row r="199" spans="4:9" ht="12.75">
      <c r="D199" s="106" t="s">
        <v>354</v>
      </c>
      <c r="E199" s="105"/>
      <c r="F199" s="105"/>
      <c r="G199" s="7" t="s">
        <v>233</v>
      </c>
      <c r="H199" s="7" t="s">
        <v>234</v>
      </c>
      <c r="I199" s="7" t="s">
        <v>238</v>
      </c>
    </row>
    <row r="200" spans="3:9" ht="12.75">
      <c r="C200" s="46" t="s">
        <v>25</v>
      </c>
      <c r="D200" s="46" t="s">
        <v>232</v>
      </c>
      <c r="E200" s="46" t="s">
        <v>230</v>
      </c>
      <c r="F200" s="46" t="s">
        <v>231</v>
      </c>
      <c r="G200" s="46" t="s">
        <v>162</v>
      </c>
      <c r="H200" s="46" t="s">
        <v>236</v>
      </c>
      <c r="I200" s="46" t="s">
        <v>239</v>
      </c>
    </row>
    <row r="201" spans="3:9" ht="12.75">
      <c r="C201">
        <v>1</v>
      </c>
      <c r="D201" s="32">
        <v>8650</v>
      </c>
      <c r="E201" s="23">
        <f>G125</f>
        <v>14493.910256410258</v>
      </c>
      <c r="F201" s="32">
        <v>26800</v>
      </c>
      <c r="G201" s="23">
        <f>(D201*$I$191)+(E201*$I$192)+(F201*$I$193)</f>
        <v>13063.846153846154</v>
      </c>
      <c r="H201" s="23">
        <f>STDEV(D201,G201)+STDEV(E201,G201)+STDEV(F201,G201)</f>
        <v>13845.19610299034</v>
      </c>
      <c r="I201" s="33">
        <f>H201/G201</f>
        <v>1.059810100329002</v>
      </c>
    </row>
    <row r="202" spans="3:9" ht="12.75">
      <c r="C202">
        <v>2</v>
      </c>
      <c r="D202" s="32">
        <v>6800</v>
      </c>
      <c r="E202" s="23">
        <f>H125</f>
        <v>10779.48717948718</v>
      </c>
      <c r="F202" s="32">
        <v>27500</v>
      </c>
      <c r="G202" s="23">
        <f aca="true" t="shared" si="9" ref="G202:G220">(D202*$I$191)+(E202*$I$192)+(F202*$I$193)</f>
        <v>10222.692307692309</v>
      </c>
      <c r="H202" s="23">
        <f aca="true" t="shared" si="10" ref="H202:H221">STDEV(D202,G202)+STDEV(E202,G202)+STDEV(F202,G202)</f>
        <v>15030.823800137572</v>
      </c>
      <c r="I202" s="33">
        <f aca="true" t="shared" si="11" ref="I202:I221">H202/G202</f>
        <v>1.4703390601737343</v>
      </c>
    </row>
    <row r="203" spans="3:9" ht="12.75">
      <c r="C203">
        <v>3</v>
      </c>
      <c r="D203" s="32">
        <v>7900</v>
      </c>
      <c r="E203" s="23">
        <f>I125</f>
        <v>17722.5641025641</v>
      </c>
      <c r="F203" s="32">
        <v>33200</v>
      </c>
      <c r="G203" s="23">
        <f t="shared" si="9"/>
        <v>15058.538461538461</v>
      </c>
      <c r="H203" s="23">
        <f t="shared" si="10"/>
        <v>19773.552160043728</v>
      </c>
      <c r="I203" s="33">
        <f t="shared" si="11"/>
        <v>1.3131123057226335</v>
      </c>
    </row>
    <row r="204" spans="3:9" ht="12.75">
      <c r="C204">
        <v>4</v>
      </c>
      <c r="D204" s="32">
        <v>8600</v>
      </c>
      <c r="E204" s="23">
        <f>J125</f>
        <v>30695.64102564103</v>
      </c>
      <c r="F204" s="32">
        <v>37800</v>
      </c>
      <c r="G204" s="23">
        <f t="shared" si="9"/>
        <v>23317.384615384617</v>
      </c>
      <c r="H204" s="23">
        <f t="shared" si="10"/>
        <v>25864.73315167262</v>
      </c>
      <c r="I204" s="33">
        <f t="shared" si="11"/>
        <v>1.1092467520824476</v>
      </c>
    </row>
    <row r="205" spans="3:9" ht="12.75">
      <c r="C205">
        <v>5</v>
      </c>
      <c r="D205" s="32">
        <v>8100</v>
      </c>
      <c r="E205" s="23">
        <f>K125</f>
        <v>30633.717948717953</v>
      </c>
      <c r="F205" s="32">
        <v>43900</v>
      </c>
      <c r="G205" s="23">
        <f t="shared" si="9"/>
        <v>23410.23076923077</v>
      </c>
      <c r="H205" s="23">
        <f t="shared" si="10"/>
        <v>30422.199534907908</v>
      </c>
      <c r="I205" s="33">
        <f t="shared" si="11"/>
        <v>1.2995258284635671</v>
      </c>
    </row>
    <row r="206" spans="3:9" ht="12.75">
      <c r="C206">
        <v>6</v>
      </c>
      <c r="D206" s="32">
        <v>7500</v>
      </c>
      <c r="E206" s="23">
        <f>L125</f>
        <v>34196.794871794875</v>
      </c>
      <c r="F206" s="32">
        <v>42100</v>
      </c>
      <c r="G206" s="23">
        <f t="shared" si="9"/>
        <v>25248.076923076926</v>
      </c>
      <c r="H206" s="23">
        <f t="shared" si="10"/>
        <v>30793.5937735188</v>
      </c>
      <c r="I206" s="33">
        <f t="shared" si="11"/>
        <v>1.2196411579122381</v>
      </c>
    </row>
    <row r="207" spans="3:9" ht="12.75">
      <c r="C207">
        <v>7</v>
      </c>
      <c r="D207" s="32">
        <v>7100</v>
      </c>
      <c r="E207" s="23">
        <f>M125</f>
        <v>33844.8717948718</v>
      </c>
      <c r="F207" s="32">
        <v>41850</v>
      </c>
      <c r="G207" s="23">
        <f t="shared" si="9"/>
        <v>24884.423076923078</v>
      </c>
      <c r="H207" s="23">
        <f t="shared" si="10"/>
        <v>30907.954697168367</v>
      </c>
      <c r="I207" s="33">
        <f t="shared" si="11"/>
        <v>1.2420603283276956</v>
      </c>
    </row>
    <row r="208" spans="3:9" ht="12.75">
      <c r="C208">
        <v>8</v>
      </c>
      <c r="D208" s="32">
        <v>6200</v>
      </c>
      <c r="E208" s="23">
        <f>N125</f>
        <v>35042.94871794872</v>
      </c>
      <c r="F208" s="32">
        <v>40950</v>
      </c>
      <c r="G208" s="23">
        <f t="shared" si="9"/>
        <v>25243.26923076923</v>
      </c>
      <c r="H208" s="23">
        <f t="shared" si="10"/>
        <v>31501.38046507184</v>
      </c>
      <c r="I208" s="33">
        <f t="shared" si="11"/>
        <v>1.2479120741886534</v>
      </c>
    </row>
    <row r="209" spans="3:9" ht="12.75">
      <c r="C209">
        <v>9</v>
      </c>
      <c r="D209" s="32">
        <v>6000</v>
      </c>
      <c r="E209" s="23">
        <f>O125</f>
        <v>36603.52564102564</v>
      </c>
      <c r="F209" s="32">
        <v>40200</v>
      </c>
      <c r="G209" s="23">
        <f t="shared" si="9"/>
        <v>26072.115384615383</v>
      </c>
      <c r="H209" s="23">
        <f t="shared" si="10"/>
        <v>31629.88352434522</v>
      </c>
      <c r="I209" s="33">
        <f t="shared" si="11"/>
        <v>1.2131690527501025</v>
      </c>
    </row>
    <row r="210" spans="3:9" ht="12.75">
      <c r="C210">
        <v>10</v>
      </c>
      <c r="D210" s="32">
        <v>5500</v>
      </c>
      <c r="E210" s="23">
        <f>P125</f>
        <v>36914.10256410257</v>
      </c>
      <c r="F210" s="32">
        <v>39900</v>
      </c>
      <c r="G210" s="23">
        <f t="shared" si="9"/>
        <v>26068.461538461543</v>
      </c>
      <c r="H210" s="23">
        <f t="shared" si="10"/>
        <v>31993.49958836304</v>
      </c>
      <c r="I210" s="33">
        <f t="shared" si="11"/>
        <v>1.227287599659829</v>
      </c>
    </row>
    <row r="211" spans="3:9" ht="12.75">
      <c r="C211">
        <v>11</v>
      </c>
      <c r="D211" s="32">
        <v>5100</v>
      </c>
      <c r="E211" s="23">
        <f>$Q$125</f>
        <v>31450</v>
      </c>
      <c r="F211" s="32">
        <v>37750</v>
      </c>
      <c r="G211" s="23">
        <f t="shared" si="9"/>
        <v>22542.5</v>
      </c>
      <c r="H211" s="23">
        <f t="shared" si="10"/>
        <v>29385.59005915995</v>
      </c>
      <c r="I211" s="33">
        <f t="shared" si="11"/>
        <v>1.3035639374142154</v>
      </c>
    </row>
    <row r="212" spans="3:9" ht="12.75">
      <c r="C212">
        <v>12</v>
      </c>
      <c r="D212" s="32">
        <v>4900</v>
      </c>
      <c r="E212" s="23">
        <f aca="true" t="shared" si="12" ref="E212:E220">$Q$125</f>
        <v>31450</v>
      </c>
      <c r="F212" s="32">
        <v>35950</v>
      </c>
      <c r="G212" s="23">
        <f t="shared" si="9"/>
        <v>22382.5</v>
      </c>
      <c r="H212" s="23">
        <f t="shared" si="10"/>
        <v>28367.356294251324</v>
      </c>
      <c r="I212" s="33">
        <f t="shared" si="11"/>
        <v>1.2673899829890014</v>
      </c>
    </row>
    <row r="213" spans="3:9" ht="12.75">
      <c r="C213">
        <v>13</v>
      </c>
      <c r="D213" s="32">
        <v>4250</v>
      </c>
      <c r="E213" s="23">
        <f t="shared" si="12"/>
        <v>31450</v>
      </c>
      <c r="F213" s="32">
        <v>34150</v>
      </c>
      <c r="G213" s="23">
        <f t="shared" si="9"/>
        <v>22065</v>
      </c>
      <c r="H213" s="23">
        <f t="shared" si="10"/>
        <v>27778.689898913522</v>
      </c>
      <c r="I213" s="33">
        <f t="shared" si="11"/>
        <v>1.2589481032818275</v>
      </c>
    </row>
    <row r="214" spans="3:9" ht="12.75">
      <c r="C214">
        <v>14</v>
      </c>
      <c r="D214" s="32">
        <v>3705</v>
      </c>
      <c r="E214" s="23">
        <f t="shared" si="12"/>
        <v>31450</v>
      </c>
      <c r="F214" s="32">
        <v>32990</v>
      </c>
      <c r="G214" s="23">
        <f t="shared" si="9"/>
        <v>21816.25</v>
      </c>
      <c r="H214" s="23">
        <f t="shared" si="10"/>
        <v>27519.712040303948</v>
      </c>
      <c r="I214" s="33">
        <f t="shared" si="11"/>
        <v>1.2614318244567213</v>
      </c>
    </row>
    <row r="215" spans="3:9" ht="12.75">
      <c r="C215">
        <v>15</v>
      </c>
      <c r="D215" s="32">
        <v>3250</v>
      </c>
      <c r="E215" s="23">
        <f t="shared" si="12"/>
        <v>31450</v>
      </c>
      <c r="F215" s="32">
        <v>31650</v>
      </c>
      <c r="G215" s="23">
        <f t="shared" si="9"/>
        <v>21590</v>
      </c>
      <c r="H215" s="23">
        <f t="shared" si="10"/>
        <v>27053.905448197307</v>
      </c>
      <c r="I215" s="33">
        <f t="shared" si="11"/>
        <v>1.2530757502638863</v>
      </c>
    </row>
    <row r="216" spans="3:9" ht="12.75">
      <c r="C216">
        <v>16</v>
      </c>
      <c r="D216" s="32">
        <v>2680</v>
      </c>
      <c r="E216" s="23">
        <f t="shared" si="12"/>
        <v>31450</v>
      </c>
      <c r="F216" s="32">
        <v>31280</v>
      </c>
      <c r="G216" s="23">
        <f t="shared" si="9"/>
        <v>21372</v>
      </c>
      <c r="H216" s="23">
        <f t="shared" si="10"/>
        <v>27349.476082733287</v>
      </c>
      <c r="I216" s="33">
        <f t="shared" si="11"/>
        <v>1.2796872582225944</v>
      </c>
    </row>
    <row r="217" spans="3:9" ht="12.75">
      <c r="C217">
        <v>17</v>
      </c>
      <c r="D217" s="32">
        <v>2005</v>
      </c>
      <c r="E217" s="23">
        <f t="shared" si="12"/>
        <v>31450</v>
      </c>
      <c r="F217" s="32">
        <v>31000</v>
      </c>
      <c r="G217" s="23">
        <f t="shared" si="9"/>
        <v>21121.75</v>
      </c>
      <c r="H217" s="23">
        <f t="shared" si="10"/>
        <v>27805.736733293903</v>
      </c>
      <c r="I217" s="33">
        <f t="shared" si="11"/>
        <v>1.316450423534693</v>
      </c>
    </row>
    <row r="218" spans="3:9" ht="12.75">
      <c r="C218">
        <v>18</v>
      </c>
      <c r="D218" s="32">
        <v>1490</v>
      </c>
      <c r="E218" s="23">
        <f t="shared" si="12"/>
        <v>31450</v>
      </c>
      <c r="F218" s="32">
        <v>30850</v>
      </c>
      <c r="G218" s="23">
        <f t="shared" si="9"/>
        <v>20934</v>
      </c>
      <c r="H218" s="23">
        <f t="shared" si="10"/>
        <v>28196.59000659477</v>
      </c>
      <c r="I218" s="33">
        <f t="shared" si="11"/>
        <v>1.346927964392604</v>
      </c>
    </row>
    <row r="219" spans="3:9" ht="12.75">
      <c r="C219">
        <v>19</v>
      </c>
      <c r="D219" s="32">
        <v>1105</v>
      </c>
      <c r="E219" s="23">
        <f t="shared" si="12"/>
        <v>31450</v>
      </c>
      <c r="F219" s="32">
        <v>29990</v>
      </c>
      <c r="G219" s="23">
        <f t="shared" si="9"/>
        <v>20756.25</v>
      </c>
      <c r="H219" s="23">
        <f t="shared" si="10"/>
        <v>27986.402515887065</v>
      </c>
      <c r="I219" s="33">
        <f t="shared" si="11"/>
        <v>1.3483361645714935</v>
      </c>
    </row>
    <row r="220" spans="3:9" ht="12.75">
      <c r="C220">
        <v>20</v>
      </c>
      <c r="D220" s="32">
        <v>790</v>
      </c>
      <c r="E220" s="23">
        <f t="shared" si="12"/>
        <v>31450</v>
      </c>
      <c r="F220" s="32">
        <v>28750</v>
      </c>
      <c r="G220" s="23">
        <f t="shared" si="9"/>
        <v>20584</v>
      </c>
      <c r="H220" s="23">
        <f t="shared" si="10"/>
        <v>27454.127886348895</v>
      </c>
      <c r="I220" s="33">
        <f t="shared" si="11"/>
        <v>1.3337605852287648</v>
      </c>
    </row>
    <row r="221" spans="3:9" ht="12.75">
      <c r="C221" t="s">
        <v>240</v>
      </c>
      <c r="D221" s="23">
        <f>SUM(D201:D220)</f>
        <v>101625</v>
      </c>
      <c r="E221" s="23">
        <f>SUM(E201:E220)</f>
        <v>595427.5641025641</v>
      </c>
      <c r="F221" s="23">
        <f>SUM(F201:F220)</f>
        <v>698560</v>
      </c>
      <c r="G221" s="23">
        <f>SUM(G201:G220)</f>
        <v>427753.28846153844</v>
      </c>
      <c r="H221" s="23">
        <f t="shared" si="10"/>
        <v>540660.4037639032</v>
      </c>
      <c r="I221" s="33">
        <f t="shared" si="11"/>
        <v>1.2639538218594357</v>
      </c>
    </row>
    <row r="222" spans="4:6" ht="12.75">
      <c r="D222" s="23"/>
      <c r="E222" s="23"/>
      <c r="F222" s="23"/>
    </row>
    <row r="223" spans="4:8" ht="12.75">
      <c r="D223" s="11" t="s">
        <v>241</v>
      </c>
      <c r="E223" s="11"/>
      <c r="F223" s="11"/>
      <c r="G223" s="11"/>
      <c r="H223" s="25">
        <f>H221</f>
        <v>540660.4037639032</v>
      </c>
    </row>
    <row r="224" spans="4:8" ht="12.75">
      <c r="D224" s="11" t="s">
        <v>299</v>
      </c>
      <c r="E224" s="11"/>
      <c r="F224" s="11"/>
      <c r="G224" s="11"/>
      <c r="H224" s="45">
        <f>I221</f>
        <v>1.2639538218594357</v>
      </c>
    </row>
    <row r="225" spans="4:8" ht="12.75">
      <c r="D225" s="11"/>
      <c r="E225" s="11"/>
      <c r="F225" s="11"/>
      <c r="G225" s="11"/>
      <c r="H225" s="45"/>
    </row>
    <row r="227" spans="3:10" ht="12.75">
      <c r="C227" s="12" t="s">
        <v>261</v>
      </c>
      <c r="D227" s="13"/>
      <c r="E227" s="13"/>
      <c r="F227" s="13"/>
      <c r="G227" s="13"/>
      <c r="H227" s="13"/>
      <c r="I227" s="13"/>
      <c r="J227" s="13"/>
    </row>
    <row r="229" spans="5:7" ht="12.75">
      <c r="E229" s="7" t="s">
        <v>233</v>
      </c>
      <c r="F229" s="7" t="s">
        <v>355</v>
      </c>
      <c r="G229" s="7" t="s">
        <v>166</v>
      </c>
    </row>
    <row r="230" spans="4:7" ht="12.75">
      <c r="D230" s="46" t="s">
        <v>25</v>
      </c>
      <c r="E230" s="46" t="s">
        <v>356</v>
      </c>
      <c r="F230" s="46" t="s">
        <v>162</v>
      </c>
      <c r="G230" s="46" t="s">
        <v>165</v>
      </c>
    </row>
    <row r="231" spans="4:7" ht="12.75">
      <c r="D231" s="48">
        <v>0</v>
      </c>
      <c r="E231" s="49">
        <f>E133</f>
        <v>-141000</v>
      </c>
      <c r="F231" s="49">
        <f>E231</f>
        <v>-141000</v>
      </c>
      <c r="G231" s="47"/>
    </row>
    <row r="232" spans="4:7" ht="12.75">
      <c r="D232">
        <v>1</v>
      </c>
      <c r="E232" s="23">
        <f>G201</f>
        <v>13063.846153846154</v>
      </c>
      <c r="F232" s="23">
        <f>E232/(1+$H$156)^D232</f>
        <v>11612.307692307693</v>
      </c>
      <c r="G232" s="23">
        <f>SUM($F$231:F232)</f>
        <v>-129387.69230769231</v>
      </c>
    </row>
    <row r="233" spans="4:7" ht="12.75">
      <c r="D233">
        <v>2</v>
      </c>
      <c r="E233" s="23">
        <f aca="true" t="shared" si="13" ref="E233:E251">G202</f>
        <v>10222.692307692309</v>
      </c>
      <c r="F233" s="23">
        <f aca="true" t="shared" si="14" ref="F233:F251">E233/(1+$H$156)^D233</f>
        <v>8077.188983855651</v>
      </c>
      <c r="G233" s="23">
        <f>SUM($F$231:F233)</f>
        <v>-121310.50332383666</v>
      </c>
    </row>
    <row r="234" spans="4:7" ht="12.75">
      <c r="D234">
        <v>3</v>
      </c>
      <c r="E234" s="23">
        <f t="shared" si="13"/>
        <v>15058.538461538461</v>
      </c>
      <c r="F234" s="23">
        <f t="shared" si="14"/>
        <v>10576.092856389152</v>
      </c>
      <c r="G234" s="23">
        <f>SUM($F$231:F234)</f>
        <v>-110734.41046744751</v>
      </c>
    </row>
    <row r="235" spans="4:7" ht="12.75">
      <c r="D235">
        <v>4</v>
      </c>
      <c r="E235" s="23">
        <f t="shared" si="13"/>
        <v>23317.384615384617</v>
      </c>
      <c r="F235" s="23">
        <f t="shared" si="14"/>
        <v>14556.92842320003</v>
      </c>
      <c r="G235" s="23">
        <f>SUM($F$231:F235)</f>
        <v>-96177.48204424747</v>
      </c>
    </row>
    <row r="236" spans="4:7" ht="12.75">
      <c r="D236">
        <v>5</v>
      </c>
      <c r="E236" s="23">
        <f t="shared" si="13"/>
        <v>23410.23076923077</v>
      </c>
      <c r="F236" s="23">
        <f t="shared" si="14"/>
        <v>12991.014951077137</v>
      </c>
      <c r="G236" s="23">
        <f>SUM($F$231:F236)</f>
        <v>-83186.46709317033</v>
      </c>
    </row>
    <row r="237" spans="4:7" ht="12.75">
      <c r="D237">
        <v>6</v>
      </c>
      <c r="E237" s="23">
        <f t="shared" si="13"/>
        <v>25248.076923076926</v>
      </c>
      <c r="F237" s="23">
        <f t="shared" si="14"/>
        <v>12454.12355637423</v>
      </c>
      <c r="G237" s="23">
        <f>SUM($F$231:F237)</f>
        <v>-70732.3435367961</v>
      </c>
    </row>
    <row r="238" spans="4:7" ht="12.75">
      <c r="D238">
        <v>7</v>
      </c>
      <c r="E238" s="23">
        <f t="shared" si="13"/>
        <v>24884.423076923078</v>
      </c>
      <c r="F238" s="23">
        <f t="shared" si="14"/>
        <v>10910.883517040438</v>
      </c>
      <c r="G238" s="23">
        <f>SUM($F$231:F238)</f>
        <v>-59821.46001975567</v>
      </c>
    </row>
    <row r="239" spans="4:7" ht="12.75">
      <c r="D239">
        <v>8</v>
      </c>
      <c r="E239" s="23">
        <f t="shared" si="13"/>
        <v>25243.26923076923</v>
      </c>
      <c r="F239" s="23">
        <f t="shared" si="14"/>
        <v>9838.421384773284</v>
      </c>
      <c r="G239" s="23">
        <f>SUM($F$231:F239)</f>
        <v>-49983.03863498239</v>
      </c>
    </row>
    <row r="240" spans="4:7" ht="12.75">
      <c r="D240">
        <v>9</v>
      </c>
      <c r="E240" s="23">
        <f t="shared" si="13"/>
        <v>26072.115384615383</v>
      </c>
      <c r="F240" s="23">
        <f t="shared" si="14"/>
        <v>9032.408430719117</v>
      </c>
      <c r="G240" s="23">
        <f>SUM($F$231:F240)</f>
        <v>-40950.630204263274</v>
      </c>
    </row>
    <row r="241" spans="4:7" ht="12.75">
      <c r="D241">
        <v>10</v>
      </c>
      <c r="E241" s="23">
        <f t="shared" si="13"/>
        <v>26068.461538461543</v>
      </c>
      <c r="F241" s="23">
        <f t="shared" si="14"/>
        <v>8027.68230612534</v>
      </c>
      <c r="G241" s="23">
        <f>SUM($F$231:F241)</f>
        <v>-32922.947898137936</v>
      </c>
    </row>
    <row r="242" spans="4:7" ht="12.75">
      <c r="D242">
        <v>11</v>
      </c>
      <c r="E242" s="23">
        <f t="shared" si="13"/>
        <v>22542.5</v>
      </c>
      <c r="F242" s="23">
        <f t="shared" si="14"/>
        <v>6170.5564742825</v>
      </c>
      <c r="G242" s="23">
        <f>SUM($F$231:F242)</f>
        <v>-26752.391423855435</v>
      </c>
    </row>
    <row r="243" spans="4:7" ht="12.75">
      <c r="D243">
        <v>12</v>
      </c>
      <c r="E243" s="23">
        <f t="shared" si="13"/>
        <v>22382.5</v>
      </c>
      <c r="F243" s="23">
        <f t="shared" si="14"/>
        <v>5446.008612300343</v>
      </c>
      <c r="G243" s="23">
        <f>SUM($F$231:F243)</f>
        <v>-21306.382811555093</v>
      </c>
    </row>
    <row r="244" spans="4:7" ht="12.75">
      <c r="D244">
        <v>13</v>
      </c>
      <c r="E244" s="23">
        <f t="shared" si="13"/>
        <v>22065</v>
      </c>
      <c r="F244" s="23">
        <f t="shared" si="14"/>
        <v>4772.227510298257</v>
      </c>
      <c r="G244" s="23">
        <f>SUM($F$231:F244)</f>
        <v>-16534.155301256837</v>
      </c>
    </row>
    <row r="245" spans="4:7" ht="12.75">
      <c r="D245">
        <v>14</v>
      </c>
      <c r="E245" s="23">
        <f t="shared" si="13"/>
        <v>21816.25</v>
      </c>
      <c r="F245" s="23">
        <f t="shared" si="14"/>
        <v>4194.158004745347</v>
      </c>
      <c r="G245" s="23">
        <f>SUM($F$231:F245)</f>
        <v>-12339.99729651149</v>
      </c>
    </row>
    <row r="246" spans="4:7" ht="12.75">
      <c r="D246">
        <v>15</v>
      </c>
      <c r="E246" s="23">
        <f t="shared" si="13"/>
        <v>21590</v>
      </c>
      <c r="F246" s="23">
        <f t="shared" si="14"/>
        <v>3689.4769855783666</v>
      </c>
      <c r="G246" s="23">
        <f>SUM($F$231:F246)</f>
        <v>-8650.520310933123</v>
      </c>
    </row>
    <row r="247" spans="4:7" ht="12.75">
      <c r="D247">
        <v>16</v>
      </c>
      <c r="E247" s="23">
        <f t="shared" si="13"/>
        <v>21372</v>
      </c>
      <c r="F247" s="23">
        <f t="shared" si="14"/>
        <v>3246.4207559376605</v>
      </c>
      <c r="G247" s="23">
        <f>SUM($F$231:F247)</f>
        <v>-5404.099554995462</v>
      </c>
    </row>
    <row r="248" spans="4:8" ht="12.75">
      <c r="D248">
        <v>17</v>
      </c>
      <c r="E248" s="23">
        <f t="shared" si="13"/>
        <v>21121.75</v>
      </c>
      <c r="F248" s="23">
        <f t="shared" si="14"/>
        <v>2851.917882243695</v>
      </c>
      <c r="G248" s="23">
        <f>SUM($F$231:F248)</f>
        <v>-2552.181672751767</v>
      </c>
      <c r="H248" t="s">
        <v>0</v>
      </c>
    </row>
    <row r="249" spans="4:7" ht="12.75">
      <c r="D249">
        <v>18</v>
      </c>
      <c r="E249" s="23">
        <f t="shared" si="13"/>
        <v>20934</v>
      </c>
      <c r="F249" s="23">
        <f>E249/(1+$H$156)^D249</f>
        <v>2512.504312038097</v>
      </c>
      <c r="G249" s="23">
        <f>SUM($F$231:F249)</f>
        <v>-39.67736071367017</v>
      </c>
    </row>
    <row r="250" spans="4:8" ht="12.75">
      <c r="D250">
        <v>19</v>
      </c>
      <c r="E250" s="23">
        <f t="shared" si="13"/>
        <v>20756.25</v>
      </c>
      <c r="F250" s="23">
        <f t="shared" si="14"/>
        <v>2214.373963748108</v>
      </c>
      <c r="G250" s="23">
        <f>SUM($F$231:F250)</f>
        <v>2174.696603034438</v>
      </c>
      <c r="H250" t="s">
        <v>263</v>
      </c>
    </row>
    <row r="251" spans="4:7" ht="12.75">
      <c r="D251">
        <v>20</v>
      </c>
      <c r="E251" s="23">
        <f t="shared" si="13"/>
        <v>20584</v>
      </c>
      <c r="F251" s="23">
        <f t="shared" si="14"/>
        <v>1951.9978017776623</v>
      </c>
      <c r="G251" s="23">
        <f>SUM($F$231:F251)</f>
        <v>4126.6944048121</v>
      </c>
    </row>
    <row r="252" spans="4:7" ht="12.75">
      <c r="D252" t="s">
        <v>159</v>
      </c>
      <c r="E252" s="23"/>
      <c r="F252" s="23">
        <f>SUM(F231:F251)</f>
        <v>4126.6944048121</v>
      </c>
      <c r="G252" s="23"/>
    </row>
    <row r="253" ht="12.75">
      <c r="E253" s="23" t="s">
        <v>0</v>
      </c>
    </row>
    <row r="254" spans="3:6" ht="12.75">
      <c r="C254" s="11" t="s">
        <v>159</v>
      </c>
      <c r="F254" s="43">
        <f>NPV(H156,E232:E251)+E231</f>
        <v>4126.694404812122</v>
      </c>
    </row>
    <row r="255" spans="3:6" ht="12.75">
      <c r="C255" s="11" t="s">
        <v>163</v>
      </c>
      <c r="F255" s="39">
        <f>MIRR(E231:E251,,H157)</f>
        <v>0.09682101436605772</v>
      </c>
    </row>
    <row r="256" spans="3:6" ht="12.75">
      <c r="C256" s="11" t="s">
        <v>168</v>
      </c>
      <c r="F256" s="42">
        <f>19+((G249*-1)/F250)</f>
        <v>19.017918093945845</v>
      </c>
    </row>
  </sheetData>
  <mergeCells count="1">
    <mergeCell ref="D199:F199"/>
  </mergeCells>
  <conditionalFormatting sqref="I194">
    <cfRule type="cellIs" priority="1" dxfId="0" operator="notEqual" stopIfTrue="1">
      <formula>$G$194</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1:L208"/>
  <sheetViews>
    <sheetView workbookViewId="0" topLeftCell="A1">
      <selection activeCell="A1" sqref="A1"/>
    </sheetView>
  </sheetViews>
  <sheetFormatPr defaultColWidth="9.140625" defaultRowHeight="12.75"/>
  <cols>
    <col min="2" max="2" width="10.7109375" style="0" customWidth="1"/>
    <col min="3" max="3" width="10.00390625" style="0" customWidth="1"/>
    <col min="4" max="4" width="11.140625" style="0" customWidth="1"/>
    <col min="5" max="5" width="11.57421875" style="0" customWidth="1"/>
    <col min="6" max="6" width="11.8515625" style="0" customWidth="1"/>
    <col min="7" max="7" width="11.57421875" style="0" customWidth="1"/>
    <col min="8" max="8" width="11.7109375" style="0" customWidth="1"/>
    <col min="9" max="9" width="11.8515625" style="0" customWidth="1"/>
    <col min="10" max="10" width="11.57421875" style="0" customWidth="1"/>
    <col min="11" max="11" width="11.421875" style="0" customWidth="1"/>
    <col min="12" max="12" width="12.57421875" style="0" customWidth="1"/>
  </cols>
  <sheetData>
    <row r="1" ht="18">
      <c r="C1" s="1" t="s">
        <v>4</v>
      </c>
    </row>
    <row r="2" ht="18">
      <c r="C2" s="1" t="str">
        <f>'Lead Worksheet'!C2</f>
        <v>Medical Services USA</v>
      </c>
    </row>
    <row r="3" spans="2:5" ht="18">
      <c r="B3" s="8" t="str">
        <f>'Lead Worksheet'!B46</f>
        <v>C</v>
      </c>
      <c r="C3" s="1" t="str">
        <f>'Lead Worksheet'!C46</f>
        <v>Upgrade to DuBois Center</v>
      </c>
      <c r="D3" s="1"/>
      <c r="E3" s="1"/>
    </row>
    <row r="5" spans="2:9" ht="12.75">
      <c r="B5" s="12" t="s">
        <v>91</v>
      </c>
      <c r="C5" s="13"/>
      <c r="D5" s="13"/>
      <c r="E5" s="13"/>
      <c r="F5" s="13"/>
      <c r="G5" s="13"/>
      <c r="H5" s="13"/>
      <c r="I5" s="13"/>
    </row>
    <row r="7" spans="2:9" ht="12.75">
      <c r="B7" t="s">
        <v>92</v>
      </c>
      <c r="D7" s="3" t="s">
        <v>300</v>
      </c>
      <c r="E7" s="3"/>
      <c r="F7" s="3"/>
      <c r="G7" s="3"/>
      <c r="H7" s="3"/>
      <c r="I7" s="3"/>
    </row>
    <row r="8" spans="2:9" ht="12.75">
      <c r="B8" t="s">
        <v>258</v>
      </c>
      <c r="D8" s="3" t="s">
        <v>301</v>
      </c>
      <c r="E8" s="3"/>
      <c r="F8" s="3"/>
      <c r="G8" s="3"/>
      <c r="H8" s="3"/>
      <c r="I8" s="3"/>
    </row>
    <row r="9" spans="2:9" ht="12.75">
      <c r="B9" t="s">
        <v>93</v>
      </c>
      <c r="D9" s="3" t="s">
        <v>302</v>
      </c>
      <c r="E9" s="3"/>
      <c r="F9" s="3"/>
      <c r="G9" s="3"/>
      <c r="H9" s="3"/>
      <c r="I9" s="3"/>
    </row>
    <row r="10" spans="2:9" ht="12.75">
      <c r="B10" t="s">
        <v>94</v>
      </c>
      <c r="E10" s="3" t="s">
        <v>189</v>
      </c>
      <c r="F10" s="3"/>
      <c r="G10" s="3"/>
      <c r="H10" s="3"/>
      <c r="I10" s="3"/>
    </row>
    <row r="11" spans="2:9" ht="12.75">
      <c r="B11" t="s">
        <v>95</v>
      </c>
      <c r="E11" s="3" t="s">
        <v>303</v>
      </c>
      <c r="F11" s="3"/>
      <c r="G11" s="3"/>
      <c r="H11" s="3"/>
      <c r="I11" s="3"/>
    </row>
    <row r="12" spans="2:9" ht="12.75">
      <c r="B12" t="s">
        <v>96</v>
      </c>
      <c r="E12" s="3" t="s">
        <v>304</v>
      </c>
      <c r="F12" s="3"/>
      <c r="G12" s="3"/>
      <c r="H12" s="3"/>
      <c r="I12" s="3"/>
    </row>
    <row r="13" spans="2:5" ht="12.75">
      <c r="B13" t="s">
        <v>97</v>
      </c>
      <c r="E13" s="20">
        <v>33678</v>
      </c>
    </row>
    <row r="14" spans="2:6" ht="12.75">
      <c r="B14" t="s">
        <v>460</v>
      </c>
      <c r="D14" s="79">
        <v>4</v>
      </c>
      <c r="E14" s="3"/>
      <c r="F14" t="s">
        <v>0</v>
      </c>
    </row>
    <row r="15" spans="2:5" ht="12.75">
      <c r="B15" t="s">
        <v>461</v>
      </c>
      <c r="D15" s="79" t="s">
        <v>9</v>
      </c>
      <c r="E15" s="3"/>
    </row>
    <row r="16" spans="2:6" ht="12.75">
      <c r="B16" t="s">
        <v>462</v>
      </c>
      <c r="D16" s="79">
        <v>3</v>
      </c>
      <c r="E16" s="3"/>
      <c r="F16" t="s">
        <v>0</v>
      </c>
    </row>
    <row r="18" spans="2:9" ht="12.75">
      <c r="B18" s="12" t="s">
        <v>31</v>
      </c>
      <c r="C18" s="13"/>
      <c r="D18" s="13"/>
      <c r="E18" s="13"/>
      <c r="F18" s="13"/>
      <c r="G18" s="13"/>
      <c r="H18" s="13"/>
      <c r="I18" s="13"/>
    </row>
    <row r="20" spans="2:4" ht="12.75">
      <c r="B20" s="6" t="s">
        <v>32</v>
      </c>
      <c r="C20" s="6"/>
      <c r="D20" s="6"/>
    </row>
    <row r="21" spans="2:4" ht="12.75">
      <c r="B21" s="6" t="s">
        <v>33</v>
      </c>
      <c r="C21" s="6"/>
      <c r="D21" s="6"/>
    </row>
    <row r="22" spans="2:4" ht="12.75">
      <c r="B22" s="6" t="s">
        <v>34</v>
      </c>
      <c r="C22" s="6"/>
      <c r="D22" s="6"/>
    </row>
    <row r="24" spans="2:9" ht="12.75">
      <c r="B24" s="6" t="s">
        <v>35</v>
      </c>
      <c r="I24" s="14"/>
    </row>
    <row r="25" spans="2:9" ht="12.75">
      <c r="B25" s="16" t="s">
        <v>37</v>
      </c>
      <c r="C25" s="6" t="s">
        <v>36</v>
      </c>
      <c r="D25" s="6"/>
      <c r="E25" s="6"/>
      <c r="F25" s="6"/>
      <c r="G25" s="6"/>
      <c r="I25" s="15">
        <v>3</v>
      </c>
    </row>
    <row r="26" spans="2:9" ht="12.75">
      <c r="B26" s="16" t="s">
        <v>38</v>
      </c>
      <c r="C26" s="6" t="s">
        <v>39</v>
      </c>
      <c r="D26" s="6"/>
      <c r="E26" s="6"/>
      <c r="F26" s="6"/>
      <c r="G26" s="6"/>
      <c r="I26" s="15">
        <v>3</v>
      </c>
    </row>
    <row r="27" spans="2:9" ht="12.75">
      <c r="B27" s="16" t="s">
        <v>43</v>
      </c>
      <c r="C27" s="6" t="s">
        <v>40</v>
      </c>
      <c r="D27" s="6"/>
      <c r="E27" s="6"/>
      <c r="F27" s="6"/>
      <c r="G27" s="6"/>
      <c r="I27" s="15">
        <v>4</v>
      </c>
    </row>
    <row r="28" spans="2:9" ht="12.75">
      <c r="B28" s="16" t="s">
        <v>44</v>
      </c>
      <c r="C28" s="6" t="s">
        <v>41</v>
      </c>
      <c r="D28" s="6"/>
      <c r="E28" s="6"/>
      <c r="F28" s="6"/>
      <c r="G28" s="6"/>
      <c r="I28" s="15">
        <v>4</v>
      </c>
    </row>
    <row r="29" spans="2:9" ht="12.75">
      <c r="B29" s="16" t="s">
        <v>45</v>
      </c>
      <c r="C29" s="6" t="s">
        <v>42</v>
      </c>
      <c r="D29" s="6"/>
      <c r="E29" s="6"/>
      <c r="F29" s="6"/>
      <c r="G29" s="6"/>
      <c r="I29" s="15">
        <v>0</v>
      </c>
    </row>
    <row r="30" spans="2:9" ht="12.75">
      <c r="B30" s="16" t="s">
        <v>46</v>
      </c>
      <c r="C30" s="6" t="s">
        <v>42</v>
      </c>
      <c r="D30" s="6"/>
      <c r="E30" s="6"/>
      <c r="F30" s="6"/>
      <c r="G30" s="6"/>
      <c r="I30" s="15">
        <v>0</v>
      </c>
    </row>
    <row r="31" spans="2:9" ht="12.75">
      <c r="B31" s="16"/>
      <c r="C31" s="6"/>
      <c r="D31" s="6"/>
      <c r="E31" s="6"/>
      <c r="F31" s="6"/>
      <c r="G31" s="6"/>
      <c r="I31" s="14"/>
    </row>
    <row r="32" spans="2:9" ht="12.75">
      <c r="B32" s="17" t="s">
        <v>47</v>
      </c>
      <c r="C32" s="6"/>
      <c r="D32" s="6"/>
      <c r="E32" s="6"/>
      <c r="F32" s="6"/>
      <c r="G32" s="6"/>
      <c r="I32" s="14"/>
    </row>
    <row r="33" spans="2:9" ht="12.75">
      <c r="B33" s="16" t="s">
        <v>48</v>
      </c>
      <c r="C33" s="6" t="s">
        <v>51</v>
      </c>
      <c r="D33" s="6"/>
      <c r="E33" s="6"/>
      <c r="F33" s="6"/>
      <c r="G33" s="6"/>
      <c r="I33" s="15">
        <v>4</v>
      </c>
    </row>
    <row r="34" spans="2:9" ht="12.75">
      <c r="B34" s="16" t="s">
        <v>49</v>
      </c>
      <c r="C34" s="6" t="s">
        <v>52</v>
      </c>
      <c r="D34" s="6"/>
      <c r="E34" s="6"/>
      <c r="F34" s="6"/>
      <c r="G34" s="6"/>
      <c r="I34" s="15">
        <v>3</v>
      </c>
    </row>
    <row r="35" spans="2:9" ht="12.75">
      <c r="B35" s="16" t="s">
        <v>50</v>
      </c>
      <c r="C35" s="6" t="s">
        <v>53</v>
      </c>
      <c r="D35" s="6"/>
      <c r="E35" s="6"/>
      <c r="F35" s="6"/>
      <c r="G35" s="6"/>
      <c r="I35" s="15">
        <v>3</v>
      </c>
    </row>
    <row r="36" spans="2:9" ht="12.75">
      <c r="B36" s="16" t="s">
        <v>56</v>
      </c>
      <c r="C36" s="6" t="s">
        <v>54</v>
      </c>
      <c r="D36" s="6"/>
      <c r="E36" s="6"/>
      <c r="F36" s="6"/>
      <c r="G36" s="6"/>
      <c r="I36" s="15">
        <v>2</v>
      </c>
    </row>
    <row r="37" spans="2:9" ht="12.75">
      <c r="B37" s="16" t="s">
        <v>57</v>
      </c>
      <c r="C37" s="6" t="s">
        <v>55</v>
      </c>
      <c r="D37" s="6"/>
      <c r="E37" s="6"/>
      <c r="F37" s="6"/>
      <c r="G37" s="6"/>
      <c r="I37" s="15">
        <v>0</v>
      </c>
    </row>
    <row r="38" spans="2:9" ht="12.75">
      <c r="B38" s="16" t="s">
        <v>58</v>
      </c>
      <c r="C38" s="6" t="s">
        <v>55</v>
      </c>
      <c r="D38" s="6"/>
      <c r="E38" s="6"/>
      <c r="F38" s="6"/>
      <c r="G38" s="6"/>
      <c r="I38" s="15">
        <v>0</v>
      </c>
    </row>
    <row r="39" spans="2:9" ht="12.75">
      <c r="B39" s="16"/>
      <c r="C39" s="6"/>
      <c r="D39" s="6"/>
      <c r="E39" s="6"/>
      <c r="F39" s="6"/>
      <c r="G39" s="6"/>
      <c r="I39" s="18"/>
    </row>
    <row r="40" spans="2:9" ht="12.75">
      <c r="B40" s="17" t="s">
        <v>74</v>
      </c>
      <c r="C40" s="6"/>
      <c r="D40" s="6"/>
      <c r="E40" s="6"/>
      <c r="F40" s="6"/>
      <c r="G40" s="6"/>
      <c r="I40" s="18"/>
    </row>
    <row r="41" spans="2:9" ht="12.75">
      <c r="B41" s="16" t="s">
        <v>75</v>
      </c>
      <c r="C41" s="6" t="s">
        <v>77</v>
      </c>
      <c r="D41" s="6"/>
      <c r="E41" s="6"/>
      <c r="F41" s="6"/>
      <c r="G41" s="6"/>
      <c r="I41" s="15">
        <v>0</v>
      </c>
    </row>
    <row r="42" spans="2:9" ht="12.75">
      <c r="B42" s="16" t="s">
        <v>81</v>
      </c>
      <c r="C42" s="6" t="s">
        <v>78</v>
      </c>
      <c r="D42" s="6"/>
      <c r="E42" s="6"/>
      <c r="F42" s="6"/>
      <c r="G42" s="6"/>
      <c r="I42" s="15">
        <v>0</v>
      </c>
    </row>
    <row r="43" spans="2:9" ht="12.75">
      <c r="B43" s="16" t="s">
        <v>82</v>
      </c>
      <c r="C43" s="6" t="s">
        <v>79</v>
      </c>
      <c r="D43" s="6"/>
      <c r="E43" s="6"/>
      <c r="F43" s="6"/>
      <c r="G43" s="6"/>
      <c r="I43" s="15">
        <v>0</v>
      </c>
    </row>
    <row r="44" spans="2:9" ht="12.75">
      <c r="B44" s="16" t="s">
        <v>83</v>
      </c>
      <c r="C44" s="6" t="s">
        <v>80</v>
      </c>
      <c r="D44" s="6"/>
      <c r="E44" s="6"/>
      <c r="F44" s="6"/>
      <c r="G44" s="6"/>
      <c r="I44" s="15">
        <v>0</v>
      </c>
    </row>
    <row r="45" spans="2:9" ht="12.75">
      <c r="B45" s="16" t="s">
        <v>85</v>
      </c>
      <c r="C45" s="6" t="s">
        <v>84</v>
      </c>
      <c r="D45" s="6"/>
      <c r="E45" s="6"/>
      <c r="F45" s="6"/>
      <c r="G45" s="6"/>
      <c r="I45" s="15">
        <v>0</v>
      </c>
    </row>
    <row r="46" spans="2:9" ht="12.75">
      <c r="B46" s="16"/>
      <c r="C46" s="6"/>
      <c r="D46" s="6"/>
      <c r="E46" s="6"/>
      <c r="F46" s="6"/>
      <c r="G46" s="6"/>
      <c r="I46" s="14"/>
    </row>
    <row r="47" spans="2:9" ht="12.75">
      <c r="B47" s="17" t="s">
        <v>59</v>
      </c>
      <c r="C47" s="6"/>
      <c r="D47" s="6"/>
      <c r="E47" s="6"/>
      <c r="F47" s="6"/>
      <c r="G47" s="6"/>
      <c r="I47" s="14"/>
    </row>
    <row r="48" spans="2:9" ht="12.75">
      <c r="B48" s="16" t="s">
        <v>60</v>
      </c>
      <c r="C48" s="6" t="s">
        <v>61</v>
      </c>
      <c r="D48" s="6"/>
      <c r="E48" s="6"/>
      <c r="F48" s="6"/>
      <c r="G48" s="6"/>
      <c r="I48" s="15">
        <v>0</v>
      </c>
    </row>
    <row r="49" spans="2:9" ht="12.75">
      <c r="B49" s="16" t="s">
        <v>65</v>
      </c>
      <c r="C49" s="6" t="s">
        <v>62</v>
      </c>
      <c r="D49" s="6"/>
      <c r="E49" s="6"/>
      <c r="F49" s="6"/>
      <c r="G49" s="6"/>
      <c r="I49" s="15">
        <v>0</v>
      </c>
    </row>
    <row r="50" spans="2:9" ht="12.75">
      <c r="B50" s="16" t="s">
        <v>66</v>
      </c>
      <c r="C50" s="6" t="s">
        <v>63</v>
      </c>
      <c r="D50" s="6"/>
      <c r="E50" s="6"/>
      <c r="F50" s="6"/>
      <c r="G50" s="6"/>
      <c r="I50" s="15">
        <v>0</v>
      </c>
    </row>
    <row r="51" spans="2:9" ht="12.75">
      <c r="B51" s="16" t="s">
        <v>67</v>
      </c>
      <c r="C51" s="6" t="s">
        <v>72</v>
      </c>
      <c r="D51" s="6"/>
      <c r="E51" s="6"/>
      <c r="F51" s="6"/>
      <c r="G51" s="6"/>
      <c r="I51" s="15">
        <v>2</v>
      </c>
    </row>
    <row r="52" spans="2:9" ht="12.75">
      <c r="B52" s="16" t="s">
        <v>68</v>
      </c>
      <c r="C52" s="6" t="s">
        <v>107</v>
      </c>
      <c r="D52" s="6"/>
      <c r="E52" s="6"/>
      <c r="F52" s="6"/>
      <c r="G52" s="6"/>
      <c r="I52" s="15">
        <v>3</v>
      </c>
    </row>
    <row r="53" spans="2:9" ht="12.75">
      <c r="B53" s="16" t="s">
        <v>69</v>
      </c>
      <c r="C53" s="6" t="s">
        <v>64</v>
      </c>
      <c r="D53" s="6"/>
      <c r="E53" s="6"/>
      <c r="F53" s="6"/>
      <c r="G53" s="6"/>
      <c r="I53" s="15">
        <v>0</v>
      </c>
    </row>
    <row r="54" spans="2:9" ht="12.75">
      <c r="B54" s="16" t="s">
        <v>71</v>
      </c>
      <c r="C54" s="6" t="s">
        <v>64</v>
      </c>
      <c r="I54" s="15">
        <v>0</v>
      </c>
    </row>
    <row r="55" spans="2:9" ht="12.75">
      <c r="B55" s="16" t="s">
        <v>76</v>
      </c>
      <c r="C55" s="6" t="s">
        <v>64</v>
      </c>
      <c r="I55" s="15">
        <v>0</v>
      </c>
    </row>
    <row r="56" ht="12.75">
      <c r="I56" s="14"/>
    </row>
    <row r="57" spans="6:9" ht="12.75">
      <c r="F57" t="s">
        <v>70</v>
      </c>
      <c r="I57" s="14">
        <f>SUM(I25:I55)</f>
        <v>31</v>
      </c>
    </row>
    <row r="58" ht="12.75">
      <c r="I58" s="14"/>
    </row>
    <row r="59" spans="2:9" ht="12.75">
      <c r="B59" s="6" t="s">
        <v>86</v>
      </c>
      <c r="C59" s="6"/>
      <c r="I59" s="14"/>
    </row>
    <row r="60" spans="2:9" ht="12.75">
      <c r="B60" s="6" t="s">
        <v>87</v>
      </c>
      <c r="C60" s="6"/>
      <c r="I60" s="14"/>
    </row>
    <row r="61" spans="2:9" ht="12.75">
      <c r="B61" s="6" t="s">
        <v>88</v>
      </c>
      <c r="C61" s="6"/>
      <c r="I61" s="14"/>
    </row>
    <row r="62" spans="2:9" ht="12.75">
      <c r="B62" s="6" t="s">
        <v>73</v>
      </c>
      <c r="C62" s="6"/>
      <c r="I62" s="14"/>
    </row>
    <row r="63" spans="2:9" ht="12.75">
      <c r="B63" s="6"/>
      <c r="C63" s="6"/>
      <c r="I63" s="14"/>
    </row>
    <row r="64" spans="2:9" ht="12.75">
      <c r="B64" s="12" t="s">
        <v>305</v>
      </c>
      <c r="C64" s="51"/>
      <c r="D64" s="13"/>
      <c r="E64" s="13"/>
      <c r="F64" s="13"/>
      <c r="G64" s="13"/>
      <c r="H64" s="13"/>
      <c r="I64" s="19"/>
    </row>
    <row r="65" spans="2:9" ht="12.75">
      <c r="B65" s="28"/>
      <c r="C65" s="28"/>
      <c r="D65" s="28"/>
      <c r="E65" s="28"/>
      <c r="F65" s="28"/>
      <c r="G65" s="28"/>
      <c r="H65" s="28"/>
      <c r="I65" s="50"/>
    </row>
    <row r="66" spans="2:9" ht="12.75">
      <c r="B66" s="6" t="s">
        <v>308</v>
      </c>
      <c r="C66" s="28"/>
      <c r="D66" s="28"/>
      <c r="E66" s="28"/>
      <c r="F66" s="55">
        <v>37.5</v>
      </c>
      <c r="G66" s="28"/>
      <c r="H66" s="28"/>
      <c r="I66" s="50"/>
    </row>
    <row r="67" spans="2:9" ht="12.75">
      <c r="B67" s="6" t="s">
        <v>307</v>
      </c>
      <c r="C67" s="28"/>
      <c r="D67" s="28"/>
      <c r="E67" s="28"/>
      <c r="F67" s="55">
        <v>2.65</v>
      </c>
      <c r="G67" s="28"/>
      <c r="H67" s="28"/>
      <c r="I67" s="50"/>
    </row>
    <row r="68" spans="2:9" ht="12.75">
      <c r="B68" s="6" t="s">
        <v>309</v>
      </c>
      <c r="C68" s="28"/>
      <c r="D68" s="28"/>
      <c r="E68" s="28"/>
      <c r="F68" s="55">
        <v>3.6</v>
      </c>
      <c r="G68" s="28"/>
      <c r="H68" s="28"/>
      <c r="I68" s="50"/>
    </row>
    <row r="69" spans="2:9" ht="12.75">
      <c r="B69" s="51" t="s">
        <v>310</v>
      </c>
      <c r="C69" s="54"/>
      <c r="D69" s="54"/>
      <c r="E69" s="54"/>
      <c r="F69" s="56">
        <v>10.5</v>
      </c>
      <c r="G69" s="28"/>
      <c r="H69" s="28"/>
      <c r="I69" s="50"/>
    </row>
    <row r="70" spans="2:9" ht="12.75">
      <c r="B70" s="6" t="s">
        <v>313</v>
      </c>
      <c r="C70" s="28"/>
      <c r="D70" s="28"/>
      <c r="E70" s="28"/>
      <c r="F70" s="55">
        <f>SUM(F66:F69)</f>
        <v>54.25</v>
      </c>
      <c r="G70" s="28"/>
      <c r="H70" s="28"/>
      <c r="I70" s="50"/>
    </row>
    <row r="71" spans="2:9" ht="12.75">
      <c r="B71" s="28"/>
      <c r="C71" s="28"/>
      <c r="D71" s="28"/>
      <c r="E71" s="28"/>
      <c r="F71" s="28"/>
      <c r="G71" s="28"/>
      <c r="H71" s="28"/>
      <c r="I71" s="50"/>
    </row>
    <row r="72" spans="2:9" ht="12.75">
      <c r="B72" s="28" t="s">
        <v>306</v>
      </c>
      <c r="C72" s="28"/>
      <c r="D72" s="28"/>
      <c r="E72" s="52">
        <v>0.6</v>
      </c>
      <c r="F72" s="28"/>
      <c r="G72" s="28"/>
      <c r="H72" s="28"/>
      <c r="I72" s="50"/>
    </row>
    <row r="73" spans="2:9" ht="12.75">
      <c r="B73" s="28" t="s">
        <v>311</v>
      </c>
      <c r="C73" s="28"/>
      <c r="D73" s="28"/>
      <c r="E73" s="53">
        <v>15000</v>
      </c>
      <c r="F73" s="28" t="s">
        <v>312</v>
      </c>
      <c r="G73" s="28"/>
      <c r="H73" s="28"/>
      <c r="I73" s="50"/>
    </row>
    <row r="74" spans="2:10" ht="12.75">
      <c r="B74" s="28" t="s">
        <v>329</v>
      </c>
      <c r="C74" s="28"/>
      <c r="D74" s="28"/>
      <c r="E74" s="53"/>
      <c r="F74" s="28"/>
      <c r="G74" s="28"/>
      <c r="H74" s="28"/>
      <c r="I74" s="50"/>
      <c r="J74">
        <v>1.03</v>
      </c>
    </row>
    <row r="75" spans="2:10" ht="12.75">
      <c r="B75" s="28" t="s">
        <v>330</v>
      </c>
      <c r="C75" s="28"/>
      <c r="D75" s="28"/>
      <c r="E75" s="53"/>
      <c r="F75" s="28"/>
      <c r="G75" s="28"/>
      <c r="H75" s="28"/>
      <c r="I75" s="50"/>
      <c r="J75">
        <v>1.015</v>
      </c>
    </row>
    <row r="76" spans="2:9" ht="12.75">
      <c r="B76" s="28"/>
      <c r="C76" s="28"/>
      <c r="D76" s="28"/>
      <c r="E76" s="53"/>
      <c r="F76" s="28"/>
      <c r="G76" s="28"/>
      <c r="H76" s="28"/>
      <c r="I76" s="50"/>
    </row>
    <row r="77" spans="2:9" ht="12.75">
      <c r="B77" s="57" t="s">
        <v>321</v>
      </c>
      <c r="C77" s="54"/>
      <c r="D77" s="54"/>
      <c r="E77" s="58"/>
      <c r="F77" s="54"/>
      <c r="G77" s="54"/>
      <c r="H77" s="54"/>
      <c r="I77" s="59"/>
    </row>
    <row r="78" spans="2:9" ht="12.75">
      <c r="B78" s="28"/>
      <c r="C78" s="28"/>
      <c r="D78" s="28"/>
      <c r="E78" s="53"/>
      <c r="F78" s="28"/>
      <c r="G78" s="28"/>
      <c r="H78" s="28"/>
      <c r="I78" s="50"/>
    </row>
    <row r="79" spans="2:9" ht="12.75">
      <c r="B79" s="28" t="s">
        <v>319</v>
      </c>
      <c r="C79" s="28"/>
      <c r="D79" s="28"/>
      <c r="E79" s="53"/>
      <c r="F79" s="28"/>
      <c r="G79" s="28"/>
      <c r="H79" s="28"/>
      <c r="I79" s="50"/>
    </row>
    <row r="80" spans="2:5" ht="12.75">
      <c r="B80" s="28" t="s">
        <v>320</v>
      </c>
      <c r="C80" s="28"/>
      <c r="D80" s="28"/>
      <c r="E80" s="53"/>
    </row>
    <row r="81" spans="2:5" ht="12.75">
      <c r="B81" s="28" t="s">
        <v>339</v>
      </c>
      <c r="C81" s="28"/>
      <c r="D81" s="28"/>
      <c r="E81" s="53">
        <f>(E72*E73)+5000</f>
        <v>14000</v>
      </c>
    </row>
    <row r="82" spans="2:5" ht="12.75">
      <c r="B82" s="28" t="s">
        <v>340</v>
      </c>
      <c r="C82" s="28"/>
      <c r="D82" s="28"/>
      <c r="E82" s="60" t="str">
        <f>IF(E81&gt;E73,"Yes","No")</f>
        <v>No</v>
      </c>
    </row>
    <row r="83" spans="2:9" ht="12.75">
      <c r="B83" s="28"/>
      <c r="C83" s="28"/>
      <c r="D83" s="28"/>
      <c r="E83" s="28"/>
      <c r="F83" s="28"/>
      <c r="G83" s="28"/>
      <c r="H83" s="28"/>
      <c r="I83" s="50"/>
    </row>
    <row r="84" spans="2:9" ht="12.75">
      <c r="B84" s="12" t="s">
        <v>90</v>
      </c>
      <c r="C84" s="13"/>
      <c r="D84" s="13"/>
      <c r="E84" s="13"/>
      <c r="F84" s="13"/>
      <c r="G84" s="13"/>
      <c r="H84" s="13"/>
      <c r="I84" s="19"/>
    </row>
    <row r="85" ht="12.75">
      <c r="I85" s="14"/>
    </row>
    <row r="86" spans="3:7" ht="12.75">
      <c r="C86" s="2" t="s">
        <v>17</v>
      </c>
      <c r="G86" s="23"/>
    </row>
    <row r="87" spans="3:7" ht="12.75">
      <c r="C87" t="s">
        <v>314</v>
      </c>
      <c r="G87" s="38">
        <v>1150000</v>
      </c>
    </row>
    <row r="88" spans="3:7" ht="12.75">
      <c r="C88" t="s">
        <v>315</v>
      </c>
      <c r="G88" s="38">
        <v>405000</v>
      </c>
    </row>
    <row r="89" spans="3:7" ht="12.75">
      <c r="C89" t="s">
        <v>316</v>
      </c>
      <c r="G89" s="38">
        <v>135000</v>
      </c>
    </row>
    <row r="90" spans="3:7" ht="12.75">
      <c r="C90" t="s">
        <v>317</v>
      </c>
      <c r="G90" s="38">
        <v>90000</v>
      </c>
    </row>
    <row r="91" spans="4:7" ht="12.75">
      <c r="D91" t="s">
        <v>318</v>
      </c>
      <c r="G91" s="38">
        <f>SUM(G87:G90)</f>
        <v>1780000</v>
      </c>
    </row>
    <row r="92" spans="4:7" ht="12.75">
      <c r="D92" t="s">
        <v>429</v>
      </c>
      <c r="G92" s="73" t="str">
        <f>IF(G91&gt;'Lead Worksheet'!$E$52,"Yes","No")</f>
        <v>Yes</v>
      </c>
    </row>
    <row r="93" ht="12.75">
      <c r="G93" s="38"/>
    </row>
    <row r="94" spans="4:5" ht="12.75">
      <c r="D94" s="7" t="s">
        <v>337</v>
      </c>
      <c r="E94" t="s">
        <v>338</v>
      </c>
    </row>
    <row r="95" spans="4:12" ht="12.75">
      <c r="D95" s="7" t="s">
        <v>336</v>
      </c>
      <c r="E95" s="7" t="s">
        <v>323</v>
      </c>
      <c r="F95" s="7" t="s">
        <v>325</v>
      </c>
      <c r="G95" s="7" t="s">
        <v>327</v>
      </c>
      <c r="H95" s="7" t="s">
        <v>331</v>
      </c>
      <c r="I95" s="7" t="s">
        <v>333</v>
      </c>
      <c r="J95" s="7" t="s">
        <v>103</v>
      </c>
      <c r="K95" s="7" t="s">
        <v>335</v>
      </c>
      <c r="L95" s="7" t="s">
        <v>205</v>
      </c>
    </row>
    <row r="96" spans="3:12" ht="12.75">
      <c r="C96" s="7" t="s">
        <v>25</v>
      </c>
      <c r="D96" s="7" t="s">
        <v>322</v>
      </c>
      <c r="E96" s="7" t="s">
        <v>324</v>
      </c>
      <c r="F96" s="7" t="s">
        <v>326</v>
      </c>
      <c r="G96" s="7" t="s">
        <v>328</v>
      </c>
      <c r="H96" s="7" t="s">
        <v>332</v>
      </c>
      <c r="I96" s="7" t="s">
        <v>22</v>
      </c>
      <c r="J96" s="7" t="s">
        <v>334</v>
      </c>
      <c r="K96" s="7" t="s">
        <v>334</v>
      </c>
      <c r="L96" s="7" t="s">
        <v>285</v>
      </c>
    </row>
    <row r="97" spans="3:12" ht="12.75">
      <c r="C97">
        <v>1</v>
      </c>
      <c r="D97" s="23">
        <f>(12*5000*50)</f>
        <v>3000000</v>
      </c>
      <c r="E97" s="23">
        <f>(12*5000*F66)*-1</f>
        <v>-2250000</v>
      </c>
      <c r="F97" s="23">
        <f>(12*5000*F67)*-1</f>
        <v>-159000</v>
      </c>
      <c r="G97" s="23">
        <f>(12*5000*F68)*-1</f>
        <v>-216000</v>
      </c>
      <c r="H97" s="23">
        <f>SUM(D97:G97)</f>
        <v>375000</v>
      </c>
      <c r="I97" s="23">
        <f>MAX('Lead Worksheet'!$E$50*H97,0)*-1</f>
        <v>-103125.00000000001</v>
      </c>
      <c r="J97" s="23">
        <f>SUM(H97:I97)</f>
        <v>271875</v>
      </c>
      <c r="K97" s="23">
        <v>-15000</v>
      </c>
      <c r="L97" s="23">
        <f>SUM(J97:K97)</f>
        <v>256875</v>
      </c>
    </row>
    <row r="98" spans="3:12" ht="12.75">
      <c r="C98">
        <v>2</v>
      </c>
      <c r="D98" s="23">
        <f>D97*$J$74</f>
        <v>3090000</v>
      </c>
      <c r="E98" s="23">
        <f>E97*$J$75</f>
        <v>-2283750</v>
      </c>
      <c r="F98" s="23">
        <f>F97*$J$75</f>
        <v>-161384.99999999997</v>
      </c>
      <c r="G98" s="23">
        <f>G97*$J$75</f>
        <v>-219239.99999999997</v>
      </c>
      <c r="H98" s="23">
        <f aca="true" t="shared" si="0" ref="H98:H106">SUM(D98:G98)</f>
        <v>425625</v>
      </c>
      <c r="I98" s="23">
        <f>MAX('Lead Worksheet'!$E$50*H98,0)*-1</f>
        <v>-117046.87500000001</v>
      </c>
      <c r="J98" s="23">
        <f aca="true" t="shared" si="1" ref="J98:J106">SUM(H98:I98)</f>
        <v>308578.125</v>
      </c>
      <c r="K98" s="23">
        <v>-13000</v>
      </c>
      <c r="L98" s="23">
        <f aca="true" t="shared" si="2" ref="L98:L106">SUM(J98:K98)</f>
        <v>295578.125</v>
      </c>
    </row>
    <row r="99" spans="3:12" ht="12.75">
      <c r="C99">
        <v>3</v>
      </c>
      <c r="D99" s="23">
        <f aca="true" t="shared" si="3" ref="D99:D106">D98*$J$74</f>
        <v>3182700</v>
      </c>
      <c r="E99" s="23">
        <f aca="true" t="shared" si="4" ref="E99:E106">E98*$J$75</f>
        <v>-2318006.25</v>
      </c>
      <c r="F99" s="23">
        <f aca="true" t="shared" si="5" ref="F99:F106">F98*$J$75</f>
        <v>-163805.77499999997</v>
      </c>
      <c r="G99" s="23">
        <f aca="true" t="shared" si="6" ref="G99:G106">G98*$J$75</f>
        <v>-222528.59999999995</v>
      </c>
      <c r="H99" s="23">
        <f t="shared" si="0"/>
        <v>478359.3750000001</v>
      </c>
      <c r="I99" s="23">
        <f>MAX('Lead Worksheet'!$E$50*H99,0)*-1</f>
        <v>-131548.82812500003</v>
      </c>
      <c r="J99" s="23">
        <f t="shared" si="1"/>
        <v>346810.5468750001</v>
      </c>
      <c r="K99" s="23">
        <v>-12000</v>
      </c>
      <c r="L99" s="23">
        <f t="shared" si="2"/>
        <v>334810.5468750001</v>
      </c>
    </row>
    <row r="100" spans="3:12" ht="12.75">
      <c r="C100">
        <v>4</v>
      </c>
      <c r="D100" s="23">
        <f t="shared" si="3"/>
        <v>3278181</v>
      </c>
      <c r="E100" s="23">
        <f t="shared" si="4"/>
        <v>-2352776.34375</v>
      </c>
      <c r="F100" s="23">
        <f t="shared" si="5"/>
        <v>-166262.86162499996</v>
      </c>
      <c r="G100" s="23">
        <f t="shared" si="6"/>
        <v>-225866.52899999992</v>
      </c>
      <c r="H100" s="23">
        <f t="shared" si="0"/>
        <v>533275.2656250002</v>
      </c>
      <c r="I100" s="23">
        <f>MAX('Lead Worksheet'!$E$50*H100,0)*-1</f>
        <v>-146650.69804687507</v>
      </c>
      <c r="J100" s="23">
        <f t="shared" si="1"/>
        <v>386624.56757812516</v>
      </c>
      <c r="K100" s="23">
        <v>-12000</v>
      </c>
      <c r="L100" s="23">
        <f t="shared" si="2"/>
        <v>374624.56757812516</v>
      </c>
    </row>
    <row r="101" spans="3:12" ht="12.75">
      <c r="C101">
        <v>5</v>
      </c>
      <c r="D101" s="23">
        <f t="shared" si="3"/>
        <v>3376526.43</v>
      </c>
      <c r="E101" s="23">
        <f t="shared" si="4"/>
        <v>-2388067.98890625</v>
      </c>
      <c r="F101" s="23">
        <f t="shared" si="5"/>
        <v>-168756.80454937494</v>
      </c>
      <c r="G101" s="23">
        <f t="shared" si="6"/>
        <v>-229254.52693499989</v>
      </c>
      <c r="H101" s="23">
        <f t="shared" si="0"/>
        <v>590447.1096093755</v>
      </c>
      <c r="I101" s="23">
        <f>MAX('Lead Worksheet'!$E$50*H101,0)*-1</f>
        <v>-162372.95514257826</v>
      </c>
      <c r="J101" s="23">
        <f t="shared" si="1"/>
        <v>428074.15446679725</v>
      </c>
      <c r="K101" s="23">
        <v>-12000</v>
      </c>
      <c r="L101" s="23">
        <f t="shared" si="2"/>
        <v>416074.15446679725</v>
      </c>
    </row>
    <row r="102" spans="3:12" ht="12.75">
      <c r="C102">
        <v>6</v>
      </c>
      <c r="D102" s="23">
        <f>D101*$J$74</f>
        <v>3477822.2229000004</v>
      </c>
      <c r="E102" s="23">
        <f t="shared" si="4"/>
        <v>-2423889.0087398435</v>
      </c>
      <c r="F102" s="23">
        <f t="shared" si="5"/>
        <v>-171288.15661761555</v>
      </c>
      <c r="G102" s="23">
        <f t="shared" si="6"/>
        <v>-232693.34483902485</v>
      </c>
      <c r="H102" s="23">
        <f t="shared" si="0"/>
        <v>649951.7127035165</v>
      </c>
      <c r="I102" s="23">
        <f>MAX('Lead Worksheet'!$E$50*H102,0)*-1</f>
        <v>-178736.72099346705</v>
      </c>
      <c r="J102" s="23">
        <f t="shared" si="1"/>
        <v>471214.99171004945</v>
      </c>
      <c r="K102" s="23">
        <v>-12000</v>
      </c>
      <c r="L102" s="23">
        <f t="shared" si="2"/>
        <v>459214.99171004945</v>
      </c>
    </row>
    <row r="103" spans="3:12" ht="12.75">
      <c r="C103">
        <v>7</v>
      </c>
      <c r="D103" s="23">
        <f t="shared" si="3"/>
        <v>3582156.8895870005</v>
      </c>
      <c r="E103" s="23">
        <f t="shared" si="4"/>
        <v>-2460247.343870941</v>
      </c>
      <c r="F103" s="23">
        <f t="shared" si="5"/>
        <v>-173857.47896687977</v>
      </c>
      <c r="G103" s="23">
        <f t="shared" si="6"/>
        <v>-236183.7450116102</v>
      </c>
      <c r="H103" s="23">
        <f t="shared" si="0"/>
        <v>711868.3217375694</v>
      </c>
      <c r="I103" s="23">
        <f>MAX('Lead Worksheet'!$E$50*H103,0)*-1</f>
        <v>-195763.7884778316</v>
      </c>
      <c r="J103" s="23">
        <f t="shared" si="1"/>
        <v>516104.5332597378</v>
      </c>
      <c r="K103" s="23">
        <v>-12000</v>
      </c>
      <c r="L103" s="23">
        <f t="shared" si="2"/>
        <v>504104.5332597378</v>
      </c>
    </row>
    <row r="104" spans="3:12" ht="12.75">
      <c r="C104">
        <v>8</v>
      </c>
      <c r="D104" s="23">
        <f t="shared" si="3"/>
        <v>3689621.5962746106</v>
      </c>
      <c r="E104" s="23">
        <f t="shared" si="4"/>
        <v>-2497151.054029005</v>
      </c>
      <c r="F104" s="23">
        <f t="shared" si="5"/>
        <v>-176465.34115138295</v>
      </c>
      <c r="G104" s="23">
        <f t="shared" si="6"/>
        <v>-239726.50118678433</v>
      </c>
      <c r="H104" s="23">
        <f t="shared" si="0"/>
        <v>776278.6999074381</v>
      </c>
      <c r="I104" s="23">
        <f>MAX('Lead Worksheet'!$E$50*H104,0)*-1</f>
        <v>-213476.64247454552</v>
      </c>
      <c r="J104" s="23">
        <f t="shared" si="1"/>
        <v>562802.0574328926</v>
      </c>
      <c r="K104" s="23">
        <v>-12000</v>
      </c>
      <c r="L104" s="23">
        <f t="shared" si="2"/>
        <v>550802.0574328926</v>
      </c>
    </row>
    <row r="105" spans="3:12" ht="12.75">
      <c r="C105">
        <v>9</v>
      </c>
      <c r="D105" s="23">
        <f t="shared" si="3"/>
        <v>3800310.244162849</v>
      </c>
      <c r="E105" s="23">
        <f t="shared" si="4"/>
        <v>-2534608.31983944</v>
      </c>
      <c r="F105" s="23">
        <f t="shared" si="5"/>
        <v>-179112.32126865367</v>
      </c>
      <c r="G105" s="23">
        <f t="shared" si="6"/>
        <v>-243322.39870458606</v>
      </c>
      <c r="H105" s="23">
        <f t="shared" si="0"/>
        <v>843267.2043501695</v>
      </c>
      <c r="I105" s="23">
        <f>MAX('Lead Worksheet'!$E$50*H105,0)*-1</f>
        <v>-231898.48119629663</v>
      </c>
      <c r="J105" s="23">
        <f t="shared" si="1"/>
        <v>611368.7231538729</v>
      </c>
      <c r="K105" s="23">
        <v>-12000</v>
      </c>
      <c r="L105" s="23">
        <f t="shared" si="2"/>
        <v>599368.7231538729</v>
      </c>
    </row>
    <row r="106" spans="3:12" ht="12.75">
      <c r="C106">
        <v>10</v>
      </c>
      <c r="D106" s="23">
        <f t="shared" si="3"/>
        <v>3914319.5514877345</v>
      </c>
      <c r="E106" s="23">
        <f t="shared" si="4"/>
        <v>-2572627.4446370313</v>
      </c>
      <c r="F106" s="23">
        <f t="shared" si="5"/>
        <v>-181799.00608768346</v>
      </c>
      <c r="G106" s="23">
        <f t="shared" si="6"/>
        <v>-246972.23468515484</v>
      </c>
      <c r="H106" s="23">
        <f t="shared" si="0"/>
        <v>912920.866077865</v>
      </c>
      <c r="I106" s="23">
        <f>MAX('Lead Worksheet'!$E$50*H106,0)*-1</f>
        <v>-251053.2381714129</v>
      </c>
      <c r="J106" s="23">
        <f t="shared" si="1"/>
        <v>661867.6279064522</v>
      </c>
      <c r="K106" s="23">
        <v>-12000</v>
      </c>
      <c r="L106" s="23">
        <f t="shared" si="2"/>
        <v>649867.6279064522</v>
      </c>
    </row>
    <row r="107" spans="3:12" ht="12.75">
      <c r="C107" t="s">
        <v>0</v>
      </c>
      <c r="D107" s="23"/>
      <c r="E107" s="23"/>
      <c r="F107" s="23"/>
      <c r="G107" s="23"/>
      <c r="H107" s="23"/>
      <c r="I107" s="23"/>
      <c r="J107" s="23"/>
      <c r="K107" s="23"/>
      <c r="L107" s="23"/>
    </row>
    <row r="108" spans="3:12" ht="12.75">
      <c r="C108" t="s">
        <v>0</v>
      </c>
      <c r="D108" s="23" t="s">
        <v>341</v>
      </c>
      <c r="E108" s="23"/>
      <c r="F108" s="23"/>
      <c r="G108" s="23"/>
      <c r="H108" s="23"/>
      <c r="I108" s="23"/>
      <c r="J108" s="23"/>
      <c r="K108" s="23"/>
      <c r="L108" s="23"/>
    </row>
    <row r="109" spans="3:4" ht="12.75">
      <c r="C109" t="s">
        <v>0</v>
      </c>
      <c r="D109" t="s">
        <v>342</v>
      </c>
    </row>
    <row r="110" ht="12.75">
      <c r="C110" t="s">
        <v>0</v>
      </c>
    </row>
    <row r="111" spans="2:10" ht="12.75">
      <c r="B111" s="12" t="s">
        <v>89</v>
      </c>
      <c r="C111" s="13"/>
      <c r="D111" s="13"/>
      <c r="E111" s="13"/>
      <c r="F111" s="13"/>
      <c r="G111" s="13"/>
      <c r="H111" s="13"/>
      <c r="I111" s="13"/>
      <c r="J111" s="23"/>
    </row>
    <row r="112" spans="4:8" ht="12.75">
      <c r="D112" t="s">
        <v>0</v>
      </c>
      <c r="H112" t="s">
        <v>0</v>
      </c>
    </row>
    <row r="113" spans="3:9" ht="12.75">
      <c r="C113" t="s">
        <v>157</v>
      </c>
      <c r="I113" t="s">
        <v>0</v>
      </c>
    </row>
    <row r="114" spans="5:10" ht="12.75">
      <c r="E114" s="7" t="s">
        <v>205</v>
      </c>
      <c r="F114" s="7" t="s">
        <v>161</v>
      </c>
      <c r="G114" s="7" t="s">
        <v>0</v>
      </c>
      <c r="I114" s="31"/>
      <c r="J114" s="31"/>
    </row>
    <row r="115" spans="4:7" ht="12.75">
      <c r="D115" s="7" t="s">
        <v>25</v>
      </c>
      <c r="E115" s="7" t="s">
        <v>262</v>
      </c>
      <c r="F115" s="7" t="s">
        <v>162</v>
      </c>
      <c r="G115" s="7" t="s">
        <v>165</v>
      </c>
    </row>
    <row r="116" spans="3:7" ht="12.75">
      <c r="C116" t="s">
        <v>0</v>
      </c>
      <c r="D116">
        <v>0</v>
      </c>
      <c r="E116" s="23">
        <f>G91*-1</f>
        <v>-1780000</v>
      </c>
      <c r="F116" s="23">
        <f>E116</f>
        <v>-1780000</v>
      </c>
      <c r="G116" s="23"/>
    </row>
    <row r="117" spans="3:7" ht="12.75">
      <c r="C117" t="s">
        <v>0</v>
      </c>
      <c r="D117">
        <v>1</v>
      </c>
      <c r="E117" s="23">
        <f>L97</f>
        <v>256875</v>
      </c>
      <c r="F117" s="23">
        <f>E117/(1+$H$129)^D117</f>
        <v>233522.72727272726</v>
      </c>
      <c r="G117" s="23">
        <f>SUM($F$116:F117)</f>
        <v>-1546477.2727272727</v>
      </c>
    </row>
    <row r="118" spans="3:7" ht="12.75">
      <c r="C118" t="s">
        <v>0</v>
      </c>
      <c r="D118">
        <v>2</v>
      </c>
      <c r="E118" s="23">
        <f aca="true" t="shared" si="7" ref="E118:E126">L98</f>
        <v>295578.125</v>
      </c>
      <c r="F118" s="23">
        <f aca="true" t="shared" si="8" ref="F118:F126">E118/(1+$H$129)^D118</f>
        <v>244279.44214876028</v>
      </c>
      <c r="G118" s="23">
        <f>SUM($F$116:F118)</f>
        <v>-1302197.8305785125</v>
      </c>
    </row>
    <row r="119" spans="3:7" ht="12.75">
      <c r="C119" t="s">
        <v>0</v>
      </c>
      <c r="D119">
        <v>3</v>
      </c>
      <c r="E119" s="23">
        <f t="shared" si="7"/>
        <v>334810.5468750001</v>
      </c>
      <c r="F119" s="23">
        <f t="shared" si="8"/>
        <v>251548.119365139</v>
      </c>
      <c r="G119" s="23">
        <f>SUM($F$116:F119)</f>
        <v>-1050649.7112133736</v>
      </c>
    </row>
    <row r="120" spans="3:7" ht="12.75">
      <c r="C120" t="s">
        <v>0</v>
      </c>
      <c r="D120">
        <v>4</v>
      </c>
      <c r="E120" s="23">
        <f t="shared" si="7"/>
        <v>374624.56757812516</v>
      </c>
      <c r="F120" s="23">
        <f t="shared" si="8"/>
        <v>255873.62036618064</v>
      </c>
      <c r="G120" s="23">
        <f>SUM($F$116:F120)</f>
        <v>-794776.0908471929</v>
      </c>
    </row>
    <row r="121" spans="3:7" ht="12.75">
      <c r="C121" t="s">
        <v>0</v>
      </c>
      <c r="D121">
        <v>5</v>
      </c>
      <c r="E121" s="23">
        <f t="shared" si="7"/>
        <v>416074.15446679725</v>
      </c>
      <c r="F121" s="23">
        <f t="shared" si="8"/>
        <v>258349.31448224295</v>
      </c>
      <c r="G121" s="23">
        <f>SUM($F$116:F121)</f>
        <v>-536426.77636495</v>
      </c>
    </row>
    <row r="122" spans="3:7" ht="12.75">
      <c r="C122" t="s">
        <v>0</v>
      </c>
      <c r="D122">
        <v>6</v>
      </c>
      <c r="E122" s="23">
        <f t="shared" si="7"/>
        <v>459214.99171004945</v>
      </c>
      <c r="F122" s="23">
        <f t="shared" si="8"/>
        <v>259214.8911101843</v>
      </c>
      <c r="G122" s="23">
        <f>SUM($F$116:F122)</f>
        <v>-277211.8852547657</v>
      </c>
    </row>
    <row r="123" spans="3:7" ht="12.75">
      <c r="C123" t="s">
        <v>0</v>
      </c>
      <c r="D123">
        <v>7</v>
      </c>
      <c r="E123" s="23">
        <f t="shared" si="7"/>
        <v>504104.5332597378</v>
      </c>
      <c r="F123" s="23">
        <f t="shared" si="8"/>
        <v>258685.3336791356</v>
      </c>
      <c r="G123" s="23">
        <f>SUM($F$116:F123)</f>
        <v>-18526.55157563009</v>
      </c>
    </row>
    <row r="124" spans="4:8" ht="12.75">
      <c r="D124">
        <v>8</v>
      </c>
      <c r="E124" s="23">
        <f t="shared" si="7"/>
        <v>550802.0574328926</v>
      </c>
      <c r="F124" s="23">
        <f t="shared" si="8"/>
        <v>256953.2248271497</v>
      </c>
      <c r="G124" s="23">
        <f>SUM($F$116:F124)</f>
        <v>238426.67325151962</v>
      </c>
      <c r="H124" t="s">
        <v>263</v>
      </c>
    </row>
    <row r="125" spans="4:8" ht="12.75">
      <c r="D125">
        <v>9</v>
      </c>
      <c r="E125" s="23">
        <f t="shared" si="7"/>
        <v>599368.7231538729</v>
      </c>
      <c r="F125" s="23">
        <f t="shared" si="8"/>
        <v>254190.8480165146</v>
      </c>
      <c r="G125" s="23">
        <f>SUM($F$116:F125)</f>
        <v>492617.52126803424</v>
      </c>
      <c r="H125" t="s">
        <v>0</v>
      </c>
    </row>
    <row r="126" spans="4:7" ht="12.75">
      <c r="D126">
        <v>10</v>
      </c>
      <c r="E126" s="23">
        <f t="shared" si="7"/>
        <v>649867.6279064522</v>
      </c>
      <c r="F126" s="23">
        <f t="shared" si="8"/>
        <v>250552.10295682034</v>
      </c>
      <c r="G126" s="23">
        <f>SUM($F$116:F126)</f>
        <v>743169.6242248546</v>
      </c>
    </row>
    <row r="127" spans="4:7" ht="12.75">
      <c r="D127" t="s">
        <v>159</v>
      </c>
      <c r="E127" s="23"/>
      <c r="F127" s="23">
        <f>SUM(F116:F126)</f>
        <v>743169.6242248546</v>
      </c>
      <c r="G127" s="23"/>
    </row>
    <row r="129" spans="4:8" ht="12.75">
      <c r="D129" t="s">
        <v>160</v>
      </c>
      <c r="H129" s="21">
        <v>0.1</v>
      </c>
    </row>
    <row r="130" spans="4:8" ht="12.75">
      <c r="D130" t="s">
        <v>164</v>
      </c>
      <c r="H130" s="21">
        <v>0.04</v>
      </c>
    </row>
    <row r="132" spans="4:9" ht="12.75">
      <c r="D132" s="11" t="s">
        <v>159</v>
      </c>
      <c r="G132" s="23" t="s">
        <v>0</v>
      </c>
      <c r="H132" s="43">
        <f>NPV(H129,E117:E126)+E116</f>
        <v>743169.6242248546</v>
      </c>
      <c r="I132" t="s">
        <v>0</v>
      </c>
    </row>
    <row r="133" spans="4:8" ht="12.75">
      <c r="D133" s="11" t="s">
        <v>163</v>
      </c>
      <c r="E133" s="11"/>
      <c r="F133" s="11"/>
      <c r="G133" s="11"/>
      <c r="H133" s="39">
        <f>MIRR(E116:E126,,H130)</f>
        <v>0.11239275576768604</v>
      </c>
    </row>
    <row r="134" spans="4:8" ht="12.75">
      <c r="D134" s="11" t="s">
        <v>168</v>
      </c>
      <c r="H134" s="42">
        <f>8+((G123*-1)/F124)</f>
        <v>8.072100872009264</v>
      </c>
    </row>
    <row r="136" spans="2:9" ht="12.75">
      <c r="B136" s="12" t="s">
        <v>192</v>
      </c>
      <c r="C136" s="13"/>
      <c r="D136" s="13"/>
      <c r="E136" s="13"/>
      <c r="F136" s="13"/>
      <c r="G136" s="13"/>
      <c r="H136" s="13"/>
      <c r="I136" s="13"/>
    </row>
    <row r="138" spans="3:7" ht="12.75">
      <c r="C138" t="s">
        <v>193</v>
      </c>
      <c r="G138" t="str">
        <f>IF(H132&gt;0,"Yes","No")</f>
        <v>Yes</v>
      </c>
    </row>
    <row r="139" spans="3:7" ht="12.75">
      <c r="C139" t="s">
        <v>196</v>
      </c>
      <c r="G139" t="str">
        <f>IF(H133&gt;H129,"Yes","No")</f>
        <v>Yes</v>
      </c>
    </row>
    <row r="140" spans="3:7" ht="12.75">
      <c r="C140" t="s">
        <v>197</v>
      </c>
      <c r="G140" t="str">
        <f>IF(H134&gt;0,"Yes","No")</f>
        <v>Yes</v>
      </c>
    </row>
    <row r="142" ht="12.75">
      <c r="C142" s="6" t="s">
        <v>194</v>
      </c>
    </row>
    <row r="143" ht="12.75">
      <c r="C143" s="6" t="s">
        <v>195</v>
      </c>
    </row>
    <row r="146" spans="2:9" ht="12.75">
      <c r="B146" s="12" t="s">
        <v>216</v>
      </c>
      <c r="C146" s="13"/>
      <c r="D146" s="13"/>
      <c r="E146" s="13"/>
      <c r="F146" s="13"/>
      <c r="G146" s="13"/>
      <c r="H146" s="13"/>
      <c r="I146" s="13"/>
    </row>
    <row r="148" spans="3:6" ht="12.75">
      <c r="C148" t="s">
        <v>217</v>
      </c>
      <c r="F148" s="26">
        <f>H129-'Lead Worksheet'!$E$51</f>
        <v>0.0050000000000000044</v>
      </c>
    </row>
    <row r="150" ht="12.75">
      <c r="C150" t="s">
        <v>242</v>
      </c>
    </row>
    <row r="151" ht="12.75">
      <c r="C151" t="s">
        <v>243</v>
      </c>
    </row>
    <row r="152" spans="4:10" ht="12.75">
      <c r="D152" t="s">
        <v>219</v>
      </c>
      <c r="I152" s="30">
        <v>1</v>
      </c>
      <c r="J152" t="s">
        <v>244</v>
      </c>
    </row>
    <row r="153" spans="4:10" ht="12.75">
      <c r="D153" t="s">
        <v>220</v>
      </c>
      <c r="I153">
        <v>1</v>
      </c>
      <c r="J153" t="s">
        <v>245</v>
      </c>
    </row>
    <row r="154" spans="4:10" ht="12.75">
      <c r="D154" t="s">
        <v>246</v>
      </c>
      <c r="I154" s="34">
        <f>2-I152</f>
        <v>1</v>
      </c>
      <c r="J154" t="s">
        <v>248</v>
      </c>
    </row>
    <row r="155" spans="4:9" ht="12.75">
      <c r="D155" t="s">
        <v>247</v>
      </c>
      <c r="I155" s="34">
        <f>I153^I154</f>
        <v>1</v>
      </c>
    </row>
    <row r="157" spans="4:9" ht="12.75">
      <c r="D157" t="s">
        <v>249</v>
      </c>
      <c r="I157" s="3">
        <v>0.7</v>
      </c>
    </row>
    <row r="158" spans="4:10" ht="12.75">
      <c r="D158" t="s">
        <v>250</v>
      </c>
      <c r="I158" s="3">
        <v>4</v>
      </c>
      <c r="J158" t="s">
        <v>0</v>
      </c>
    </row>
    <row r="159" spans="4:10" ht="12.75">
      <c r="D159" t="s">
        <v>251</v>
      </c>
      <c r="I159">
        <f>2-I157</f>
        <v>1.3</v>
      </c>
      <c r="J159" t="s">
        <v>0</v>
      </c>
    </row>
    <row r="160" spans="4:9" ht="12.75">
      <c r="D160" s="11" t="s">
        <v>252</v>
      </c>
      <c r="E160" s="11"/>
      <c r="F160" s="11"/>
      <c r="G160" s="11"/>
      <c r="H160" s="11"/>
      <c r="I160" s="44">
        <f>I158^I159</f>
        <v>6.062866266041592</v>
      </c>
    </row>
    <row r="162" ht="12.75">
      <c r="C162" t="s">
        <v>221</v>
      </c>
    </row>
    <row r="163" spans="3:9" ht="12.75">
      <c r="C163" s="22" t="s">
        <v>222</v>
      </c>
      <c r="D163" t="s">
        <v>225</v>
      </c>
      <c r="I163" s="21">
        <v>0.2</v>
      </c>
    </row>
    <row r="164" spans="3:9" ht="12.75">
      <c r="C164" s="22" t="s">
        <v>223</v>
      </c>
      <c r="D164" t="s">
        <v>226</v>
      </c>
      <c r="I164" s="21">
        <v>0.65</v>
      </c>
    </row>
    <row r="165" spans="3:9" ht="12.75">
      <c r="C165" s="22" t="s">
        <v>224</v>
      </c>
      <c r="D165" t="s">
        <v>227</v>
      </c>
      <c r="I165" s="21">
        <v>0.15</v>
      </c>
    </row>
    <row r="166" spans="5:9" ht="12.75">
      <c r="E166" t="s">
        <v>228</v>
      </c>
      <c r="G166" s="26">
        <v>1</v>
      </c>
      <c r="I166" s="26">
        <f>SUM(I163:I165)</f>
        <v>1</v>
      </c>
    </row>
    <row r="168" ht="12.75">
      <c r="C168" s="31" t="s">
        <v>229</v>
      </c>
    </row>
    <row r="169" ht="12.75">
      <c r="C169" s="31"/>
    </row>
    <row r="170" spans="7:9" ht="12.75">
      <c r="G170" s="7" t="s">
        <v>0</v>
      </c>
      <c r="H170" s="7" t="s">
        <v>235</v>
      </c>
      <c r="I170" s="7" t="s">
        <v>237</v>
      </c>
    </row>
    <row r="171" spans="4:9" ht="12.75">
      <c r="D171" s="106" t="s">
        <v>354</v>
      </c>
      <c r="E171" s="105"/>
      <c r="F171" s="105"/>
      <c r="G171" s="7" t="s">
        <v>233</v>
      </c>
      <c r="H171" s="7" t="s">
        <v>234</v>
      </c>
      <c r="I171" s="7" t="s">
        <v>238</v>
      </c>
    </row>
    <row r="172" spans="3:9" ht="12.75">
      <c r="C172" s="46" t="s">
        <v>25</v>
      </c>
      <c r="D172" s="46" t="s">
        <v>232</v>
      </c>
      <c r="E172" s="46" t="s">
        <v>230</v>
      </c>
      <c r="F172" s="46" t="s">
        <v>231</v>
      </c>
      <c r="G172" s="46" t="s">
        <v>162</v>
      </c>
      <c r="H172" s="46" t="s">
        <v>236</v>
      </c>
      <c r="I172" s="46" t="s">
        <v>239</v>
      </c>
    </row>
    <row r="173" spans="3:9" ht="12.75">
      <c r="C173">
        <v>1</v>
      </c>
      <c r="D173" s="32">
        <v>212500</v>
      </c>
      <c r="E173" s="23">
        <f>L97</f>
        <v>256875</v>
      </c>
      <c r="F173" s="32">
        <v>285700</v>
      </c>
      <c r="G173" s="23">
        <f>(D173*$I$163)+(E173*$I$164)+(F173*$I$165)</f>
        <v>252323.75</v>
      </c>
      <c r="H173" s="23">
        <f>STDEV(D173,G173)+STDEV(E173,G173)+STDEV(F173,G173)</f>
        <v>54978.43612073055</v>
      </c>
      <c r="I173" s="33">
        <f>H173/G173</f>
        <v>0.21788847114364204</v>
      </c>
    </row>
    <row r="174" spans="3:9" ht="12.75">
      <c r="C174">
        <v>2</v>
      </c>
      <c r="D174" s="32">
        <v>242500</v>
      </c>
      <c r="E174" s="23">
        <f aca="true" t="shared" si="9" ref="E174:E182">L98</f>
        <v>295578.125</v>
      </c>
      <c r="F174" s="32">
        <v>324300</v>
      </c>
      <c r="G174" s="23">
        <f aca="true" t="shared" si="10" ref="G174:G182">(D174*$I$163)+(E174*$I$164)+(F174*$I$165)</f>
        <v>289270.78125</v>
      </c>
      <c r="H174" s="23">
        <f aca="true" t="shared" si="11" ref="H174:H183">STDEV(D174,G174)+STDEV(E174,G174)+STDEV(F174,G174)</f>
        <v>62301.30023795918</v>
      </c>
      <c r="I174" s="33">
        <f aca="true" t="shared" si="12" ref="I174:I183">H174/G174</f>
        <v>0.21537363700800383</v>
      </c>
    </row>
    <row r="175" spans="3:9" ht="12.75">
      <c r="C175">
        <v>3</v>
      </c>
      <c r="D175" s="32">
        <v>301200</v>
      </c>
      <c r="E175" s="23">
        <f t="shared" si="9"/>
        <v>334810.5468750001</v>
      </c>
      <c r="F175" s="32">
        <v>362050</v>
      </c>
      <c r="G175" s="23">
        <f t="shared" si="10"/>
        <v>332174.3554687501</v>
      </c>
      <c r="H175" s="23">
        <f t="shared" si="11"/>
        <v>44891.51645507228</v>
      </c>
      <c r="I175" s="33">
        <f t="shared" si="12"/>
        <v>0.13514443760031777</v>
      </c>
    </row>
    <row r="176" spans="3:9" ht="12.75">
      <c r="C176">
        <v>4</v>
      </c>
      <c r="D176" s="32">
        <v>326700</v>
      </c>
      <c r="E176" s="23">
        <f t="shared" si="9"/>
        <v>374624.56757812516</v>
      </c>
      <c r="F176" s="32">
        <v>401200</v>
      </c>
      <c r="G176" s="23">
        <f t="shared" si="10"/>
        <v>369025.9689257814</v>
      </c>
      <c r="H176" s="23">
        <f t="shared" si="11"/>
        <v>56638.262270603314</v>
      </c>
      <c r="I176" s="33">
        <f t="shared" si="12"/>
        <v>0.15348042425164507</v>
      </c>
    </row>
    <row r="177" spans="3:9" ht="12.75">
      <c r="C177">
        <v>5</v>
      </c>
      <c r="D177" s="32">
        <v>370900</v>
      </c>
      <c r="E177" s="23">
        <f t="shared" si="9"/>
        <v>416074.15446679725</v>
      </c>
      <c r="F177" s="32">
        <v>441300</v>
      </c>
      <c r="G177" s="23">
        <f t="shared" si="10"/>
        <v>410823.2004034182</v>
      </c>
      <c r="H177" s="23">
        <f t="shared" si="11"/>
        <v>53493.30262144869</v>
      </c>
      <c r="I177" s="33">
        <f t="shared" si="12"/>
        <v>0.1302100333401804</v>
      </c>
    </row>
    <row r="178" spans="3:9" ht="12.75">
      <c r="C178">
        <v>6</v>
      </c>
      <c r="D178" s="32">
        <v>411800</v>
      </c>
      <c r="E178" s="23">
        <f t="shared" si="9"/>
        <v>459214.99171004945</v>
      </c>
      <c r="F178" s="32">
        <v>483700</v>
      </c>
      <c r="G178" s="23">
        <f t="shared" si="10"/>
        <v>453404.74461153214</v>
      </c>
      <c r="H178" s="23">
        <f t="shared" si="11"/>
        <v>54949.44269104842</v>
      </c>
      <c r="I178" s="33">
        <f t="shared" si="12"/>
        <v>0.12119291503693454</v>
      </c>
    </row>
    <row r="179" spans="3:9" ht="12.75">
      <c r="C179">
        <v>7</v>
      </c>
      <c r="D179" s="32">
        <v>461900</v>
      </c>
      <c r="E179" s="23">
        <f t="shared" si="9"/>
        <v>504104.5332597378</v>
      </c>
      <c r="F179" s="32">
        <v>533100</v>
      </c>
      <c r="G179" s="23">
        <f t="shared" si="10"/>
        <v>500012.94661882956</v>
      </c>
      <c r="H179" s="23">
        <f t="shared" si="11"/>
        <v>53239.19148006092</v>
      </c>
      <c r="I179" s="33">
        <f t="shared" si="12"/>
        <v>0.10647562596143392</v>
      </c>
    </row>
    <row r="180" spans="3:9" ht="12.75">
      <c r="C180">
        <v>8</v>
      </c>
      <c r="D180" s="32">
        <v>510200</v>
      </c>
      <c r="E180" s="23">
        <f t="shared" si="9"/>
        <v>550802.0574328926</v>
      </c>
      <c r="F180" s="32">
        <v>582200</v>
      </c>
      <c r="G180" s="23">
        <f t="shared" si="10"/>
        <v>547391.3373313802</v>
      </c>
      <c r="H180" s="23">
        <f t="shared" si="11"/>
        <v>53323.43155791395</v>
      </c>
      <c r="I180" s="33">
        <f t="shared" si="12"/>
        <v>0.09741372930356215</v>
      </c>
    </row>
    <row r="181" spans="3:9" ht="12.75">
      <c r="C181">
        <v>9</v>
      </c>
      <c r="D181" s="32">
        <v>561300</v>
      </c>
      <c r="E181" s="23">
        <f t="shared" si="9"/>
        <v>599368.7231538729</v>
      </c>
      <c r="F181" s="32">
        <v>631100</v>
      </c>
      <c r="G181" s="23">
        <f t="shared" si="10"/>
        <v>596514.6700500173</v>
      </c>
      <c r="H181" s="23">
        <f t="shared" si="11"/>
        <v>51374.17363042106</v>
      </c>
      <c r="I181" s="33">
        <f t="shared" si="12"/>
        <v>0.08612390643488009</v>
      </c>
    </row>
    <row r="182" spans="3:9" ht="12.75">
      <c r="C182">
        <v>10</v>
      </c>
      <c r="D182" s="32">
        <v>615100</v>
      </c>
      <c r="E182" s="23">
        <f t="shared" si="9"/>
        <v>649867.6279064522</v>
      </c>
      <c r="F182" s="32">
        <v>677700</v>
      </c>
      <c r="G182" s="23">
        <f t="shared" si="10"/>
        <v>647088.958139194</v>
      </c>
      <c r="H182" s="23">
        <f t="shared" si="11"/>
        <v>46229.70073739084</v>
      </c>
      <c r="I182" s="33">
        <f t="shared" si="12"/>
        <v>0.07144257393965062</v>
      </c>
    </row>
    <row r="183" spans="4:9" ht="12.75">
      <c r="D183" s="23">
        <f>SUM(D173:D182)</f>
        <v>4014100</v>
      </c>
      <c r="E183" s="23">
        <f>SUM(E173:E182)</f>
        <v>4441320.327382928</v>
      </c>
      <c r="F183" s="23">
        <f>SUM(F173:F182)</f>
        <v>4722350</v>
      </c>
      <c r="G183" s="23">
        <f>SUM(G173:G182)</f>
        <v>4398030.712798903</v>
      </c>
      <c r="H183" s="23">
        <f t="shared" si="11"/>
        <v>531418.7578026347</v>
      </c>
      <c r="I183" s="33">
        <f t="shared" si="12"/>
        <v>0.12083107020060811</v>
      </c>
    </row>
    <row r="185" spans="4:8" ht="12.75">
      <c r="D185" s="11" t="s">
        <v>241</v>
      </c>
      <c r="E185" s="11"/>
      <c r="F185" s="11"/>
      <c r="G185" s="11"/>
      <c r="H185" s="25">
        <f>H183</f>
        <v>531418.7578026347</v>
      </c>
    </row>
    <row r="186" spans="4:8" ht="12.75">
      <c r="D186" s="11" t="s">
        <v>299</v>
      </c>
      <c r="E186" s="11"/>
      <c r="F186" s="11"/>
      <c r="G186" s="11"/>
      <c r="H186" s="45">
        <f>I183</f>
        <v>0.12083107020060811</v>
      </c>
    </row>
    <row r="187" spans="4:8" ht="12.75">
      <c r="D187" s="11"/>
      <c r="E187" s="11"/>
      <c r="F187" s="11"/>
      <c r="G187" s="11"/>
      <c r="H187" s="45"/>
    </row>
    <row r="189" spans="2:9" ht="12.75">
      <c r="B189" s="12" t="s">
        <v>261</v>
      </c>
      <c r="C189" s="13"/>
      <c r="D189" s="13"/>
      <c r="E189" s="13"/>
      <c r="F189" s="13"/>
      <c r="G189" s="13"/>
      <c r="H189" s="13"/>
      <c r="I189" s="13"/>
    </row>
    <row r="191" spans="5:7" ht="12.75">
      <c r="E191" s="7" t="s">
        <v>233</v>
      </c>
      <c r="F191" s="7" t="s">
        <v>355</v>
      </c>
      <c r="G191" s="7" t="s">
        <v>166</v>
      </c>
    </row>
    <row r="192" spans="4:7" ht="12.75">
      <c r="D192" s="46" t="s">
        <v>25</v>
      </c>
      <c r="E192" s="46" t="s">
        <v>356</v>
      </c>
      <c r="F192" s="46" t="s">
        <v>162</v>
      </c>
      <c r="G192" s="46" t="s">
        <v>165</v>
      </c>
    </row>
    <row r="193" spans="4:6" ht="12.75">
      <c r="D193">
        <v>0</v>
      </c>
      <c r="E193" s="23">
        <f>E116</f>
        <v>-1780000</v>
      </c>
      <c r="F193" s="23">
        <f>E193</f>
        <v>-1780000</v>
      </c>
    </row>
    <row r="194" spans="4:7" ht="12.75">
      <c r="D194">
        <v>1</v>
      </c>
      <c r="E194" s="23">
        <f>G173</f>
        <v>252323.75</v>
      </c>
      <c r="F194" s="23">
        <f>E194/(1+$H$129)^D194</f>
        <v>229385.22727272726</v>
      </c>
      <c r="G194" s="23">
        <f>SUM($F$193:F194)</f>
        <v>-1550614.7727272727</v>
      </c>
    </row>
    <row r="195" spans="4:7" ht="12.75">
      <c r="D195">
        <v>2</v>
      </c>
      <c r="E195" s="23">
        <f aca="true" t="shared" si="13" ref="E195:E203">G174</f>
        <v>289270.78125</v>
      </c>
      <c r="F195" s="23">
        <f aca="true" t="shared" si="14" ref="F195:F203">E195/(1+$H$129)^D195</f>
        <v>239066.76136363632</v>
      </c>
      <c r="G195" s="23">
        <f>SUM($F$193:F195)</f>
        <v>-1311548.0113636365</v>
      </c>
    </row>
    <row r="196" spans="4:7" ht="12.75">
      <c r="D196">
        <v>3</v>
      </c>
      <c r="E196" s="23">
        <f t="shared" si="13"/>
        <v>332174.3554687501</v>
      </c>
      <c r="F196" s="23">
        <f t="shared" si="14"/>
        <v>249567.50974361383</v>
      </c>
      <c r="G196" s="23">
        <f>SUM($F$193:F196)</f>
        <v>-1061980.5016200226</v>
      </c>
    </row>
    <row r="197" spans="4:7" ht="12.75">
      <c r="D197">
        <v>4</v>
      </c>
      <c r="E197" s="23">
        <f t="shared" si="13"/>
        <v>369025.9689257814</v>
      </c>
      <c r="F197" s="23">
        <f t="shared" si="14"/>
        <v>252049.70215544107</v>
      </c>
      <c r="G197" s="23">
        <f>SUM($F$193:F197)</f>
        <v>-809930.7994645815</v>
      </c>
    </row>
    <row r="198" spans="4:7" ht="12.75">
      <c r="D198">
        <v>5</v>
      </c>
      <c r="E198" s="23">
        <f t="shared" si="13"/>
        <v>410823.2004034182</v>
      </c>
      <c r="F198" s="23">
        <f t="shared" si="14"/>
        <v>255088.8851378868</v>
      </c>
      <c r="G198" s="23">
        <f>SUM($F$193:F198)</f>
        <v>-554841.9143266948</v>
      </c>
    </row>
    <row r="199" spans="4:7" ht="12.75">
      <c r="D199">
        <v>6</v>
      </c>
      <c r="E199" s="23">
        <f t="shared" si="13"/>
        <v>453404.74461153214</v>
      </c>
      <c r="F199" s="23">
        <f t="shared" si="14"/>
        <v>255935.1580959007</v>
      </c>
      <c r="G199" s="23">
        <f>SUM($F$193:F199)</f>
        <v>-298906.7562307941</v>
      </c>
    </row>
    <row r="200" spans="4:7" ht="12.75">
      <c r="D200">
        <v>7</v>
      </c>
      <c r="E200" s="23">
        <f t="shared" si="13"/>
        <v>500012.94661882956</v>
      </c>
      <c r="F200" s="23">
        <f t="shared" si="14"/>
        <v>256585.70277790926</v>
      </c>
      <c r="G200" s="23">
        <f>SUM($F$193:F200)</f>
        <v>-42321.053452884866</v>
      </c>
    </row>
    <row r="201" spans="4:8" ht="12.75">
      <c r="D201">
        <v>8</v>
      </c>
      <c r="E201" s="23">
        <f t="shared" si="13"/>
        <v>547391.3373313802</v>
      </c>
      <c r="F201" s="23">
        <f t="shared" si="14"/>
        <v>255362.0987279645</v>
      </c>
      <c r="G201" s="23">
        <f>SUM($F$193:F201)</f>
        <v>213041.04527507964</v>
      </c>
      <c r="H201" t="s">
        <v>263</v>
      </c>
    </row>
    <row r="202" spans="4:8" ht="12.75">
      <c r="D202">
        <v>9</v>
      </c>
      <c r="E202" s="23">
        <f t="shared" si="13"/>
        <v>596514.6700500173</v>
      </c>
      <c r="F202" s="23">
        <f t="shared" si="14"/>
        <v>252980.45089246085</v>
      </c>
      <c r="G202" s="23">
        <f>SUM($F$193:F202)</f>
        <v>466021.4961675405</v>
      </c>
      <c r="H202" t="s">
        <v>0</v>
      </c>
    </row>
    <row r="203" spans="4:7" ht="12.75">
      <c r="D203">
        <v>10</v>
      </c>
      <c r="E203" s="23">
        <f t="shared" si="13"/>
        <v>647088.958139194</v>
      </c>
      <c r="F203" s="23">
        <f t="shared" si="14"/>
        <v>249480.8054745132</v>
      </c>
      <c r="G203" s="23">
        <f>SUM($F$193:F203)</f>
        <v>715502.3016420538</v>
      </c>
    </row>
    <row r="204" spans="4:6" ht="12.75">
      <c r="D204" t="s">
        <v>159</v>
      </c>
      <c r="F204" s="23">
        <f>SUM(F193:F203)</f>
        <v>715502.3016420538</v>
      </c>
    </row>
    <row r="206" spans="3:7" ht="12.75">
      <c r="C206" s="11" t="s">
        <v>159</v>
      </c>
      <c r="F206" s="43">
        <f>NPV(H129,E194:E203)+E193</f>
        <v>715502.3016420538</v>
      </c>
      <c r="G206" t="s">
        <v>0</v>
      </c>
    </row>
    <row r="207" spans="3:6" ht="12.75">
      <c r="C207" s="11" t="s">
        <v>163</v>
      </c>
      <c r="F207" s="39">
        <f>MIRR(E193:E203,,H130)</f>
        <v>0.1112482545817357</v>
      </c>
    </row>
    <row r="208" spans="3:6" ht="12.75">
      <c r="C208" s="11" t="s">
        <v>168</v>
      </c>
      <c r="F208" s="42">
        <f>8+((G200*-1)/F201)</f>
        <v>8.16572958032417</v>
      </c>
    </row>
  </sheetData>
  <mergeCells count="1">
    <mergeCell ref="D171:F171"/>
  </mergeCells>
  <conditionalFormatting sqref="I166">
    <cfRule type="cellIs" priority="1" dxfId="0" operator="notEqual" stopIfTrue="1">
      <formula>$G$166</formula>
    </cfRule>
  </conditionalFormatting>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1:O282"/>
  <sheetViews>
    <sheetView workbookViewId="0" topLeftCell="A1">
      <selection activeCell="A1" sqref="A1"/>
    </sheetView>
  </sheetViews>
  <sheetFormatPr defaultColWidth="9.140625" defaultRowHeight="12.75"/>
  <cols>
    <col min="3" max="3" width="11.140625" style="0" customWidth="1"/>
    <col min="4" max="4" width="11.57421875" style="0" customWidth="1"/>
    <col min="5" max="5" width="12.00390625" style="0" customWidth="1"/>
    <col min="6" max="6" width="11.7109375" style="0" customWidth="1"/>
    <col min="7" max="7" width="12.140625" style="0" customWidth="1"/>
    <col min="8" max="8" width="12.421875" style="0" customWidth="1"/>
    <col min="9" max="9" width="11.28125" style="0" customWidth="1"/>
    <col min="10" max="11" width="11.00390625" style="0" customWidth="1"/>
    <col min="12" max="12" width="10.8515625" style="0" customWidth="1"/>
    <col min="13" max="13" width="11.140625" style="0" customWidth="1"/>
    <col min="14" max="14" width="11.28125" style="0" customWidth="1"/>
    <col min="15" max="15" width="12.00390625" style="0" customWidth="1"/>
  </cols>
  <sheetData>
    <row r="1" ht="18">
      <c r="C1" s="1" t="s">
        <v>4</v>
      </c>
    </row>
    <row r="2" ht="18">
      <c r="C2" s="1" t="str">
        <f>'Lead Worksheet'!C2</f>
        <v>Medical Services USA</v>
      </c>
    </row>
    <row r="3" spans="2:6" ht="18">
      <c r="B3" s="8" t="str">
        <f>'Lead Worksheet'!B47</f>
        <v>D</v>
      </c>
      <c r="C3" s="1" t="str">
        <f>'Lead Worksheet'!C47</f>
        <v>Southeastern Upgrades</v>
      </c>
      <c r="D3" s="1"/>
      <c r="E3" s="1"/>
      <c r="F3" s="1"/>
    </row>
    <row r="5" spans="2:9" ht="12.75">
      <c r="B5" s="12" t="s">
        <v>91</v>
      </c>
      <c r="C5" s="13"/>
      <c r="D5" s="13"/>
      <c r="E5" s="13"/>
      <c r="F5" s="13"/>
      <c r="G5" s="13"/>
      <c r="H5" s="13"/>
      <c r="I5" s="13"/>
    </row>
    <row r="7" spans="2:9" ht="12.75">
      <c r="B7" t="s">
        <v>92</v>
      </c>
      <c r="D7" s="3" t="s">
        <v>393</v>
      </c>
      <c r="E7" s="3"/>
      <c r="F7" s="3"/>
      <c r="G7" s="3"/>
      <c r="H7" s="3"/>
      <c r="I7" s="3"/>
    </row>
    <row r="8" spans="2:9" ht="12.75">
      <c r="B8" t="s">
        <v>258</v>
      </c>
      <c r="D8" s="3" t="s">
        <v>301</v>
      </c>
      <c r="E8" s="3"/>
      <c r="F8" s="3"/>
      <c r="G8" s="3"/>
      <c r="H8" s="3"/>
      <c r="I8" s="3"/>
    </row>
    <row r="9" spans="2:9" ht="12.75">
      <c r="B9" t="s">
        <v>93</v>
      </c>
      <c r="D9" s="3" t="s">
        <v>392</v>
      </c>
      <c r="E9" s="3"/>
      <c r="F9" s="3"/>
      <c r="G9" s="3"/>
      <c r="H9" s="3"/>
      <c r="I9" s="3"/>
    </row>
    <row r="10" spans="2:9" ht="12.75">
      <c r="B10" t="s">
        <v>94</v>
      </c>
      <c r="E10" s="3" t="s">
        <v>391</v>
      </c>
      <c r="F10" s="3"/>
      <c r="G10" s="3"/>
      <c r="H10" s="3"/>
      <c r="I10" s="3"/>
    </row>
    <row r="11" spans="2:9" ht="12.75">
      <c r="B11" t="s">
        <v>95</v>
      </c>
      <c r="E11" s="3" t="s">
        <v>345</v>
      </c>
      <c r="F11" s="3"/>
      <c r="G11" s="3"/>
      <c r="H11" s="3"/>
      <c r="I11" s="3"/>
    </row>
    <row r="12" spans="2:9" ht="12.75">
      <c r="B12" t="s">
        <v>96</v>
      </c>
      <c r="E12" s="3" t="s">
        <v>346</v>
      </c>
      <c r="F12" s="3"/>
      <c r="G12" s="3"/>
      <c r="H12" s="3"/>
      <c r="I12" s="3"/>
    </row>
    <row r="13" spans="2:5" ht="12.75">
      <c r="B13" t="s">
        <v>97</v>
      </c>
      <c r="E13" s="20">
        <v>33639</v>
      </c>
    </row>
    <row r="14" spans="2:6" ht="12.75">
      <c r="B14" t="s">
        <v>460</v>
      </c>
      <c r="D14" s="79">
        <v>4</v>
      </c>
      <c r="E14" s="3"/>
      <c r="F14" t="s">
        <v>0</v>
      </c>
    </row>
    <row r="15" spans="2:5" ht="12.75">
      <c r="B15" t="s">
        <v>461</v>
      </c>
      <c r="D15" s="79" t="s">
        <v>9</v>
      </c>
      <c r="E15" s="3"/>
    </row>
    <row r="16" spans="2:6" ht="12.75">
      <c r="B16" t="s">
        <v>462</v>
      </c>
      <c r="D16" s="79">
        <v>3</v>
      </c>
      <c r="E16" s="3"/>
      <c r="F16" t="s">
        <v>0</v>
      </c>
    </row>
    <row r="18" spans="2:9" ht="12.75">
      <c r="B18" s="12" t="s">
        <v>31</v>
      </c>
      <c r="C18" s="13"/>
      <c r="D18" s="13"/>
      <c r="E18" s="13"/>
      <c r="F18" s="13"/>
      <c r="G18" s="13"/>
      <c r="H18" s="13"/>
      <c r="I18" s="13"/>
    </row>
    <row r="20" spans="2:4" ht="12.75">
      <c r="B20" s="6" t="s">
        <v>32</v>
      </c>
      <c r="C20" s="6"/>
      <c r="D20" s="6"/>
    </row>
    <row r="21" spans="2:4" ht="12.75">
      <c r="B21" s="6" t="s">
        <v>33</v>
      </c>
      <c r="C21" s="6"/>
      <c r="D21" s="6"/>
    </row>
    <row r="22" spans="2:4" ht="12.75">
      <c r="B22" s="6" t="s">
        <v>34</v>
      </c>
      <c r="C22" s="6"/>
      <c r="D22" s="6"/>
    </row>
    <row r="24" spans="2:9" ht="12.75">
      <c r="B24" s="6" t="s">
        <v>35</v>
      </c>
      <c r="I24" s="14"/>
    </row>
    <row r="25" spans="2:9" ht="12.75">
      <c r="B25" s="16" t="s">
        <v>37</v>
      </c>
      <c r="C25" s="6" t="s">
        <v>36</v>
      </c>
      <c r="D25" s="6"/>
      <c r="E25" s="6"/>
      <c r="F25" s="6"/>
      <c r="G25" s="6"/>
      <c r="I25" s="15">
        <v>2</v>
      </c>
    </row>
    <row r="26" spans="2:9" ht="12.75">
      <c r="B26" s="16" t="s">
        <v>38</v>
      </c>
      <c r="C26" s="6" t="s">
        <v>39</v>
      </c>
      <c r="D26" s="6"/>
      <c r="E26" s="6"/>
      <c r="F26" s="6"/>
      <c r="G26" s="6"/>
      <c r="I26" s="15">
        <v>2</v>
      </c>
    </row>
    <row r="27" spans="2:9" ht="12.75">
      <c r="B27" s="16" t="s">
        <v>43</v>
      </c>
      <c r="C27" s="6" t="s">
        <v>40</v>
      </c>
      <c r="D27" s="6"/>
      <c r="E27" s="6"/>
      <c r="F27" s="6"/>
      <c r="G27" s="6"/>
      <c r="I27" s="15">
        <v>4</v>
      </c>
    </row>
    <row r="28" spans="2:9" ht="12.75">
      <c r="B28" s="16" t="s">
        <v>44</v>
      </c>
      <c r="C28" s="6" t="s">
        <v>41</v>
      </c>
      <c r="D28" s="6"/>
      <c r="E28" s="6"/>
      <c r="F28" s="6"/>
      <c r="G28" s="6"/>
      <c r="I28" s="15">
        <v>5</v>
      </c>
    </row>
    <row r="29" spans="2:9" ht="12.75">
      <c r="B29" s="16" t="s">
        <v>45</v>
      </c>
      <c r="C29" s="6" t="s">
        <v>42</v>
      </c>
      <c r="D29" s="6"/>
      <c r="E29" s="6"/>
      <c r="F29" s="6"/>
      <c r="G29" s="6"/>
      <c r="I29" s="15">
        <v>0</v>
      </c>
    </row>
    <row r="30" spans="2:9" ht="12.75">
      <c r="B30" s="16" t="s">
        <v>46</v>
      </c>
      <c r="C30" s="6" t="s">
        <v>42</v>
      </c>
      <c r="D30" s="6"/>
      <c r="E30" s="6"/>
      <c r="F30" s="6"/>
      <c r="G30" s="6"/>
      <c r="I30" s="15">
        <v>0</v>
      </c>
    </row>
    <row r="31" spans="2:9" ht="12.75">
      <c r="B31" s="16"/>
      <c r="C31" s="6"/>
      <c r="D31" s="6"/>
      <c r="E31" s="6"/>
      <c r="F31" s="6"/>
      <c r="G31" s="6"/>
      <c r="I31" s="14"/>
    </row>
    <row r="32" spans="2:9" ht="12.75">
      <c r="B32" s="17" t="s">
        <v>47</v>
      </c>
      <c r="C32" s="6"/>
      <c r="D32" s="6"/>
      <c r="E32" s="6"/>
      <c r="F32" s="6"/>
      <c r="G32" s="6"/>
      <c r="I32" s="14"/>
    </row>
    <row r="33" spans="2:9" ht="12.75">
      <c r="B33" s="16" t="s">
        <v>48</v>
      </c>
      <c r="C33" s="6" t="s">
        <v>51</v>
      </c>
      <c r="D33" s="6"/>
      <c r="E33" s="6"/>
      <c r="F33" s="6"/>
      <c r="G33" s="6"/>
      <c r="I33" s="15">
        <v>5</v>
      </c>
    </row>
    <row r="34" spans="2:9" ht="12.75">
      <c r="B34" s="16" t="s">
        <v>49</v>
      </c>
      <c r="C34" s="6" t="s">
        <v>52</v>
      </c>
      <c r="D34" s="6"/>
      <c r="E34" s="6"/>
      <c r="F34" s="6"/>
      <c r="G34" s="6"/>
      <c r="I34" s="15">
        <v>1</v>
      </c>
    </row>
    <row r="35" spans="2:9" ht="12.75">
      <c r="B35" s="16" t="s">
        <v>50</v>
      </c>
      <c r="C35" s="6" t="s">
        <v>53</v>
      </c>
      <c r="D35" s="6"/>
      <c r="E35" s="6"/>
      <c r="F35" s="6"/>
      <c r="G35" s="6"/>
      <c r="I35" s="15">
        <v>2</v>
      </c>
    </row>
    <row r="36" spans="2:9" ht="12.75">
      <c r="B36" s="16" t="s">
        <v>56</v>
      </c>
      <c r="C36" s="6" t="s">
        <v>54</v>
      </c>
      <c r="D36" s="6"/>
      <c r="E36" s="6"/>
      <c r="F36" s="6"/>
      <c r="G36" s="6"/>
      <c r="I36" s="15">
        <v>3</v>
      </c>
    </row>
    <row r="37" spans="2:9" ht="12.75">
      <c r="B37" s="16" t="s">
        <v>57</v>
      </c>
      <c r="C37" s="6" t="s">
        <v>55</v>
      </c>
      <c r="D37" s="6"/>
      <c r="E37" s="6"/>
      <c r="F37" s="6"/>
      <c r="G37" s="6"/>
      <c r="I37" s="15">
        <v>0</v>
      </c>
    </row>
    <row r="38" spans="2:9" ht="12.75">
      <c r="B38" s="16" t="s">
        <v>58</v>
      </c>
      <c r="C38" s="6" t="s">
        <v>55</v>
      </c>
      <c r="D38" s="6"/>
      <c r="E38" s="6"/>
      <c r="F38" s="6"/>
      <c r="G38" s="6"/>
      <c r="I38" s="15">
        <v>0</v>
      </c>
    </row>
    <row r="39" spans="2:9" ht="12.75">
      <c r="B39" s="16"/>
      <c r="C39" s="6"/>
      <c r="D39" s="6"/>
      <c r="E39" s="6"/>
      <c r="F39" s="6"/>
      <c r="G39" s="6"/>
      <c r="I39" s="18"/>
    </row>
    <row r="40" spans="2:9" ht="12.75">
      <c r="B40" s="17" t="s">
        <v>74</v>
      </c>
      <c r="C40" s="6"/>
      <c r="D40" s="6"/>
      <c r="E40" s="6"/>
      <c r="F40" s="6"/>
      <c r="G40" s="6"/>
      <c r="I40" s="18"/>
    </row>
    <row r="41" spans="2:9" ht="12.75">
      <c r="B41" s="16" t="s">
        <v>75</v>
      </c>
      <c r="C41" s="6" t="s">
        <v>77</v>
      </c>
      <c r="D41" s="6"/>
      <c r="E41" s="6"/>
      <c r="F41" s="6"/>
      <c r="G41" s="6"/>
      <c r="I41" s="15">
        <v>0</v>
      </c>
    </row>
    <row r="42" spans="2:9" ht="12.75">
      <c r="B42" s="16" t="s">
        <v>81</v>
      </c>
      <c r="C42" s="6" t="s">
        <v>78</v>
      </c>
      <c r="D42" s="6"/>
      <c r="E42" s="6"/>
      <c r="F42" s="6"/>
      <c r="G42" s="6"/>
      <c r="I42" s="15">
        <v>1</v>
      </c>
    </row>
    <row r="43" spans="2:9" ht="12.75">
      <c r="B43" s="16" t="s">
        <v>82</v>
      </c>
      <c r="C43" s="6" t="s">
        <v>79</v>
      </c>
      <c r="D43" s="6"/>
      <c r="E43" s="6"/>
      <c r="F43" s="6"/>
      <c r="G43" s="6"/>
      <c r="I43" s="15">
        <v>1</v>
      </c>
    </row>
    <row r="44" spans="2:9" ht="12.75">
      <c r="B44" s="16" t="s">
        <v>83</v>
      </c>
      <c r="C44" s="6" t="s">
        <v>80</v>
      </c>
      <c r="D44" s="6"/>
      <c r="E44" s="6"/>
      <c r="F44" s="6"/>
      <c r="G44" s="6"/>
      <c r="I44" s="15">
        <v>0</v>
      </c>
    </row>
    <row r="45" spans="2:9" ht="12.75">
      <c r="B45" s="16" t="s">
        <v>85</v>
      </c>
      <c r="C45" s="6" t="s">
        <v>84</v>
      </c>
      <c r="D45" s="6"/>
      <c r="E45" s="6"/>
      <c r="F45" s="6"/>
      <c r="G45" s="6"/>
      <c r="I45" s="15">
        <v>0</v>
      </c>
    </row>
    <row r="46" spans="2:9" ht="12.75">
      <c r="B46" s="16"/>
      <c r="C46" s="6"/>
      <c r="D46" s="6"/>
      <c r="E46" s="6"/>
      <c r="F46" s="6"/>
      <c r="G46" s="6"/>
      <c r="I46" s="14"/>
    </row>
    <row r="47" spans="2:9" ht="12.75">
      <c r="B47" s="17" t="s">
        <v>59</v>
      </c>
      <c r="C47" s="6"/>
      <c r="D47" s="6"/>
      <c r="E47" s="6"/>
      <c r="F47" s="6"/>
      <c r="G47" s="6"/>
      <c r="I47" s="14"/>
    </row>
    <row r="48" spans="2:9" ht="12.75">
      <c r="B48" s="16" t="s">
        <v>60</v>
      </c>
      <c r="C48" s="6" t="s">
        <v>61</v>
      </c>
      <c r="D48" s="6"/>
      <c r="E48" s="6"/>
      <c r="F48" s="6"/>
      <c r="G48" s="6"/>
      <c r="I48" s="15">
        <v>0</v>
      </c>
    </row>
    <row r="49" spans="2:9" ht="12.75">
      <c r="B49" s="16" t="s">
        <v>65</v>
      </c>
      <c r="C49" s="6" t="s">
        <v>62</v>
      </c>
      <c r="D49" s="6"/>
      <c r="E49" s="6"/>
      <c r="F49" s="6"/>
      <c r="G49" s="6"/>
      <c r="I49" s="15">
        <v>2</v>
      </c>
    </row>
    <row r="50" spans="2:9" ht="12.75">
      <c r="B50" s="16" t="s">
        <v>66</v>
      </c>
      <c r="C50" s="6" t="s">
        <v>63</v>
      </c>
      <c r="D50" s="6"/>
      <c r="E50" s="6"/>
      <c r="F50" s="6"/>
      <c r="G50" s="6"/>
      <c r="I50" s="15">
        <v>0</v>
      </c>
    </row>
    <row r="51" spans="2:9" ht="12.75">
      <c r="B51" s="16" t="s">
        <v>67</v>
      </c>
      <c r="C51" s="6" t="s">
        <v>72</v>
      </c>
      <c r="D51" s="6"/>
      <c r="E51" s="6"/>
      <c r="F51" s="6"/>
      <c r="G51" s="6"/>
      <c r="I51" s="15">
        <v>2</v>
      </c>
    </row>
    <row r="52" spans="2:9" ht="12.75">
      <c r="B52" s="16" t="s">
        <v>68</v>
      </c>
      <c r="C52" s="6" t="s">
        <v>107</v>
      </c>
      <c r="D52" s="6"/>
      <c r="E52" s="6"/>
      <c r="F52" s="6"/>
      <c r="G52" s="6"/>
      <c r="I52" s="15">
        <v>2</v>
      </c>
    </row>
    <row r="53" spans="2:9" ht="12.75">
      <c r="B53" s="16" t="s">
        <v>69</v>
      </c>
      <c r="C53" s="6" t="s">
        <v>64</v>
      </c>
      <c r="D53" s="6"/>
      <c r="E53" s="6"/>
      <c r="F53" s="6"/>
      <c r="G53" s="6"/>
      <c r="I53" s="15">
        <v>0</v>
      </c>
    </row>
    <row r="54" spans="2:9" ht="12.75">
      <c r="B54" s="16" t="s">
        <v>71</v>
      </c>
      <c r="C54" s="6" t="s">
        <v>64</v>
      </c>
      <c r="I54" s="15">
        <v>0</v>
      </c>
    </row>
    <row r="55" spans="2:9" ht="12.75">
      <c r="B55" s="16" t="s">
        <v>76</v>
      </c>
      <c r="C55" s="6" t="s">
        <v>64</v>
      </c>
      <c r="I55" s="15">
        <v>0</v>
      </c>
    </row>
    <row r="56" ht="12.75">
      <c r="I56" s="14"/>
    </row>
    <row r="57" spans="6:9" ht="12.75">
      <c r="F57" t="s">
        <v>70</v>
      </c>
      <c r="I57" s="14">
        <f>SUM(I25:I55)</f>
        <v>32</v>
      </c>
    </row>
    <row r="58" ht="12.75">
      <c r="I58" s="14"/>
    </row>
    <row r="59" spans="2:9" ht="12.75">
      <c r="B59" s="6" t="s">
        <v>86</v>
      </c>
      <c r="C59" s="6"/>
      <c r="I59" s="14"/>
    </row>
    <row r="60" spans="2:9" ht="12.75">
      <c r="B60" s="6" t="s">
        <v>87</v>
      </c>
      <c r="C60" s="6"/>
      <c r="I60" s="14"/>
    </row>
    <row r="61" spans="2:9" ht="12.75">
      <c r="B61" s="6" t="s">
        <v>88</v>
      </c>
      <c r="C61" s="6"/>
      <c r="I61" s="14"/>
    </row>
    <row r="62" spans="2:9" ht="12.75">
      <c r="B62" s="6" t="s">
        <v>73</v>
      </c>
      <c r="C62" s="6"/>
      <c r="I62" s="14"/>
    </row>
    <row r="63" spans="2:9" ht="12.75">
      <c r="B63" s="6"/>
      <c r="C63" s="6"/>
      <c r="I63" s="14"/>
    </row>
    <row r="64" spans="2:9" ht="12.75">
      <c r="B64" s="12" t="s">
        <v>347</v>
      </c>
      <c r="C64" s="13"/>
      <c r="D64" s="13"/>
      <c r="E64" s="13"/>
      <c r="F64" s="13"/>
      <c r="G64" s="13"/>
      <c r="H64" s="13"/>
      <c r="I64" s="19"/>
    </row>
    <row r="65" spans="2:9" ht="12.75">
      <c r="B65" s="62"/>
      <c r="C65" s="63"/>
      <c r="D65" s="63"/>
      <c r="E65" s="63"/>
      <c r="F65" s="63"/>
      <c r="G65" s="63"/>
      <c r="H65" s="63"/>
      <c r="I65" s="64"/>
    </row>
    <row r="66" spans="2:12" ht="12.75">
      <c r="B66" s="28" t="s">
        <v>422</v>
      </c>
      <c r="C66" s="28"/>
      <c r="D66" s="28"/>
      <c r="E66" s="28"/>
      <c r="F66" s="28"/>
      <c r="G66" s="28"/>
      <c r="H66" s="28"/>
      <c r="I66" s="50"/>
      <c r="J66" s="28"/>
      <c r="K66" s="28"/>
      <c r="L66" s="28"/>
    </row>
    <row r="67" spans="2:12" ht="12.75">
      <c r="B67" s="28" t="s">
        <v>423</v>
      </c>
      <c r="C67" s="28"/>
      <c r="D67" s="28"/>
      <c r="E67" s="28"/>
      <c r="F67" s="28"/>
      <c r="G67" s="28"/>
      <c r="H67" s="28"/>
      <c r="I67" s="50"/>
      <c r="J67" s="28"/>
      <c r="K67" s="28"/>
      <c r="L67" s="28"/>
    </row>
    <row r="68" spans="2:12" ht="12.75">
      <c r="B68" s="28" t="s">
        <v>378</v>
      </c>
      <c r="C68" s="28"/>
      <c r="D68" s="28"/>
      <c r="E68" s="28"/>
      <c r="F68" s="28"/>
      <c r="G68" s="28"/>
      <c r="H68" s="28"/>
      <c r="I68" s="50"/>
      <c r="J68" s="28"/>
      <c r="K68" s="28"/>
      <c r="L68" s="28"/>
    </row>
    <row r="69" spans="2:12" ht="12.75">
      <c r="B69" s="28"/>
      <c r="C69" s="28"/>
      <c r="D69" s="28"/>
      <c r="E69" s="28"/>
      <c r="F69" s="28"/>
      <c r="G69" s="28"/>
      <c r="H69" s="28"/>
      <c r="I69" s="50"/>
      <c r="J69" s="28"/>
      <c r="K69" s="28"/>
      <c r="L69" s="28"/>
    </row>
    <row r="70" spans="2:12" ht="12.75">
      <c r="B70" s="28" t="s">
        <v>362</v>
      </c>
      <c r="C70" s="28" t="s">
        <v>369</v>
      </c>
      <c r="D70" s="28" t="s">
        <v>0</v>
      </c>
      <c r="E70" s="37" t="s">
        <v>358</v>
      </c>
      <c r="F70" s="37" t="s">
        <v>362</v>
      </c>
      <c r="G70" s="37" t="s">
        <v>361</v>
      </c>
      <c r="H70" s="37" t="s">
        <v>359</v>
      </c>
      <c r="I70" s="65" t="s">
        <v>364</v>
      </c>
      <c r="J70" s="28"/>
      <c r="K70" s="28"/>
      <c r="L70" s="28"/>
    </row>
    <row r="71" spans="2:12" ht="12.75">
      <c r="B71" s="28" t="s">
        <v>371</v>
      </c>
      <c r="C71" s="28" t="s">
        <v>370</v>
      </c>
      <c r="D71" s="37" t="s">
        <v>25</v>
      </c>
      <c r="E71" s="37" t="s">
        <v>357</v>
      </c>
      <c r="F71" s="37" t="s">
        <v>360</v>
      </c>
      <c r="G71" s="37" t="s">
        <v>360</v>
      </c>
      <c r="H71" s="37" t="s">
        <v>360</v>
      </c>
      <c r="I71" s="65" t="s">
        <v>382</v>
      </c>
      <c r="J71" s="28"/>
      <c r="K71" s="28"/>
      <c r="L71" s="28"/>
    </row>
    <row r="72" spans="2:12" ht="12.75">
      <c r="B72" s="28">
        <v>0.09</v>
      </c>
      <c r="C72" s="28">
        <v>5</v>
      </c>
      <c r="D72" s="28">
        <v>1</v>
      </c>
      <c r="E72" s="29">
        <v>500000</v>
      </c>
      <c r="F72" s="29">
        <f>IPMT(B72,D72,C72,E72)</f>
        <v>-45000</v>
      </c>
      <c r="G72" s="23">
        <f>PPMT(B72,D72,C72,E72)</f>
        <v>-83546.2284783724</v>
      </c>
      <c r="H72" s="29">
        <f>PMT($B$72,$C$72,$E$72)</f>
        <v>-128546.2284783724</v>
      </c>
      <c r="I72" s="29">
        <f>ABS(F72*'Lead Worksheet'!$E$50)</f>
        <v>12375.000000000002</v>
      </c>
      <c r="J72" s="28"/>
      <c r="K72" s="28"/>
      <c r="L72" s="28"/>
    </row>
    <row r="73" spans="2:12" ht="12.75">
      <c r="B73" s="28"/>
      <c r="C73" s="28"/>
      <c r="D73" s="28">
        <v>2</v>
      </c>
      <c r="E73" s="29">
        <f>E72+G72</f>
        <v>416453.7715216276</v>
      </c>
      <c r="F73" s="29">
        <f>$B$72*E73*-1</f>
        <v>-37480.83943694648</v>
      </c>
      <c r="G73" s="23">
        <f>H73-F73</f>
        <v>-91065.38904142592</v>
      </c>
      <c r="H73" s="29">
        <f>PMT($B$72,$C$72,$E$72)</f>
        <v>-128546.2284783724</v>
      </c>
      <c r="I73" s="29">
        <f>ABS(F73*'Lead Worksheet'!$E$50)</f>
        <v>10307.230845160282</v>
      </c>
      <c r="J73" s="28"/>
      <c r="K73" s="28"/>
      <c r="L73" s="28"/>
    </row>
    <row r="74" spans="2:12" ht="12.75">
      <c r="B74" s="28"/>
      <c r="C74" s="28"/>
      <c r="D74" s="28">
        <v>3</v>
      </c>
      <c r="E74" s="29">
        <f>E73+G73</f>
        <v>325388.38248020166</v>
      </c>
      <c r="F74" s="29">
        <f>$B$72*E74*-1</f>
        <v>-29284.954423218147</v>
      </c>
      <c r="G74" s="23">
        <f>H74-F74</f>
        <v>-99261.27405515425</v>
      </c>
      <c r="H74" s="29">
        <f>PMT($B$72,$C$72,$E$72)</f>
        <v>-128546.2284783724</v>
      </c>
      <c r="I74" s="29">
        <f>ABS(F74*'Lead Worksheet'!$E$50)</f>
        <v>8053.362466384991</v>
      </c>
      <c r="J74" s="28"/>
      <c r="K74" s="28"/>
      <c r="L74" s="28"/>
    </row>
    <row r="75" spans="2:12" ht="12.75">
      <c r="B75" s="28"/>
      <c r="C75" s="28"/>
      <c r="D75" s="28">
        <v>4</v>
      </c>
      <c r="E75" s="29">
        <f>E74+G74</f>
        <v>226127.10842504742</v>
      </c>
      <c r="F75" s="29">
        <f>$B$72*E75*-1</f>
        <v>-20351.439758254266</v>
      </c>
      <c r="G75" s="23">
        <f>H75-F75</f>
        <v>-108194.78872011814</v>
      </c>
      <c r="H75" s="29">
        <f>PMT($B$72,$C$72,$E$72)</f>
        <v>-128546.2284783724</v>
      </c>
      <c r="I75" s="29">
        <f>ABS(F75*'Lead Worksheet'!$E$50)</f>
        <v>5596.645933519923</v>
      </c>
      <c r="J75" s="28"/>
      <c r="K75" s="28"/>
      <c r="L75" s="28"/>
    </row>
    <row r="76" spans="2:12" ht="12.75">
      <c r="B76" s="28"/>
      <c r="C76" s="28"/>
      <c r="D76" s="28">
        <v>5</v>
      </c>
      <c r="E76" s="29">
        <f>E75+G75</f>
        <v>117932.31970492928</v>
      </c>
      <c r="F76" s="29">
        <f>$B$72*E76*-1</f>
        <v>-10613.908773443634</v>
      </c>
      <c r="G76" s="23">
        <f>H76-F76</f>
        <v>-117932.31970492877</v>
      </c>
      <c r="H76" s="29">
        <f>PMT($B$72,$C$72,$E$72)</f>
        <v>-128546.2284783724</v>
      </c>
      <c r="I76" s="29">
        <f>ABS(F76*'Lead Worksheet'!$E$50)</f>
        <v>2918.8249126969995</v>
      </c>
      <c r="J76" s="28"/>
      <c r="K76" s="28"/>
      <c r="L76" s="28"/>
    </row>
    <row r="77" spans="2:12" ht="12.75">
      <c r="B77" s="28"/>
      <c r="C77" s="28"/>
      <c r="D77" s="28"/>
      <c r="E77" s="29"/>
      <c r="F77" s="29"/>
      <c r="G77" s="23"/>
      <c r="H77" s="29"/>
      <c r="I77" s="50"/>
      <c r="J77" s="28"/>
      <c r="K77" s="28"/>
      <c r="L77" s="28"/>
    </row>
    <row r="78" spans="2:9" ht="12.75">
      <c r="B78" s="12" t="s">
        <v>90</v>
      </c>
      <c r="C78" s="13"/>
      <c r="D78" s="13"/>
      <c r="E78" s="13"/>
      <c r="F78" s="13"/>
      <c r="G78" s="13"/>
      <c r="H78" s="13"/>
      <c r="I78" s="19"/>
    </row>
    <row r="79" ht="12.75">
      <c r="I79" s="14"/>
    </row>
    <row r="80" spans="3:7" ht="12.75">
      <c r="C80" s="2" t="s">
        <v>17</v>
      </c>
      <c r="G80" s="23"/>
    </row>
    <row r="82" spans="3:8" ht="12.75">
      <c r="C82" t="s">
        <v>348</v>
      </c>
      <c r="G82" s="23">
        <v>1650000</v>
      </c>
      <c r="H82" s="36" t="s">
        <v>274</v>
      </c>
    </row>
    <row r="83" spans="3:7" ht="12.75">
      <c r="C83" t="s">
        <v>351</v>
      </c>
      <c r="G83" s="23">
        <v>65000</v>
      </c>
    </row>
    <row r="84" spans="4:7" ht="12.75">
      <c r="D84" t="s">
        <v>318</v>
      </c>
      <c r="G84" s="23">
        <f>SUM(G82:G83)</f>
        <v>1715000</v>
      </c>
    </row>
    <row r="85" spans="3:7" ht="12.75">
      <c r="C85" t="s">
        <v>349</v>
      </c>
      <c r="G85" s="23">
        <v>-500000</v>
      </c>
    </row>
    <row r="86" spans="4:7" ht="12.75">
      <c r="D86" t="s">
        <v>350</v>
      </c>
      <c r="G86" s="23">
        <f>SUM(G84:G85)</f>
        <v>1215000</v>
      </c>
    </row>
    <row r="87" spans="4:7" ht="12.75">
      <c r="D87" t="s">
        <v>429</v>
      </c>
      <c r="G87" s="73" t="str">
        <f>IF(G86&gt;'Lead Worksheet'!$E$52,"Yes","No")</f>
        <v>Yes</v>
      </c>
    </row>
    <row r="88" ht="12.75">
      <c r="G88" s="73"/>
    </row>
    <row r="89" spans="3:7" ht="12.75">
      <c r="C89" t="s">
        <v>365</v>
      </c>
      <c r="G89" s="23"/>
    </row>
    <row r="90" spans="3:9" ht="12.75">
      <c r="C90" t="s">
        <v>366</v>
      </c>
      <c r="G90" s="61" t="s">
        <v>367</v>
      </c>
      <c r="H90" s="7" t="s">
        <v>368</v>
      </c>
      <c r="I90" s="7" t="s">
        <v>364</v>
      </c>
    </row>
    <row r="91" spans="6:9" ht="12.75">
      <c r="F91" s="7" t="s">
        <v>25</v>
      </c>
      <c r="G91" s="61" t="s">
        <v>363</v>
      </c>
      <c r="H91" s="7" t="s">
        <v>363</v>
      </c>
      <c r="I91" s="7" t="s">
        <v>363</v>
      </c>
    </row>
    <row r="92" spans="6:9" ht="12.75">
      <c r="F92">
        <v>1</v>
      </c>
      <c r="G92" s="23">
        <v>325000</v>
      </c>
      <c r="H92" s="23">
        <v>65000</v>
      </c>
      <c r="I92" s="23">
        <f>G92*'Lead Worksheet'!$E$50</f>
        <v>89375</v>
      </c>
    </row>
    <row r="93" spans="6:9" ht="12.75">
      <c r="F93">
        <v>2</v>
      </c>
      <c r="G93" s="23">
        <v>162500</v>
      </c>
      <c r="H93" s="23">
        <v>65000</v>
      </c>
      <c r="I93" s="23">
        <f>G93*'Lead Worksheet'!$E$50</f>
        <v>44687.5</v>
      </c>
    </row>
    <row r="94" spans="6:9" ht="12.75">
      <c r="F94">
        <v>3</v>
      </c>
      <c r="G94" s="23">
        <v>81250</v>
      </c>
      <c r="H94" s="23">
        <v>65000</v>
      </c>
      <c r="I94" s="23">
        <f>G94*'Lead Worksheet'!$E$50</f>
        <v>22343.75</v>
      </c>
    </row>
    <row r="95" spans="6:9" ht="12.75">
      <c r="F95">
        <v>4</v>
      </c>
      <c r="G95" s="23">
        <v>40625</v>
      </c>
      <c r="H95" s="23">
        <v>65000</v>
      </c>
      <c r="I95" s="23">
        <f>G95*'Lead Worksheet'!$E$50</f>
        <v>11171.875</v>
      </c>
    </row>
    <row r="96" spans="6:9" ht="12.75">
      <c r="F96">
        <v>5</v>
      </c>
      <c r="G96" s="23">
        <v>40625</v>
      </c>
      <c r="H96" s="23">
        <v>65000</v>
      </c>
      <c r="I96" s="23">
        <f>G96*'Lead Worksheet'!$E$50</f>
        <v>11171.875</v>
      </c>
    </row>
    <row r="97" spans="6:8" ht="12.75">
      <c r="F97">
        <v>6</v>
      </c>
      <c r="G97" s="23" t="s">
        <v>0</v>
      </c>
      <c r="H97" s="23">
        <v>65000</v>
      </c>
    </row>
    <row r="98" spans="6:8" ht="12.75">
      <c r="F98">
        <v>7</v>
      </c>
      <c r="H98" s="23">
        <v>65000</v>
      </c>
    </row>
    <row r="99" spans="6:8" ht="12.75">
      <c r="F99">
        <v>8</v>
      </c>
      <c r="H99" s="23">
        <v>65000</v>
      </c>
    </row>
    <row r="100" spans="6:8" ht="12.75">
      <c r="F100">
        <v>9</v>
      </c>
      <c r="H100" s="23">
        <v>65000</v>
      </c>
    </row>
    <row r="101" spans="6:8" ht="12.75">
      <c r="F101">
        <v>10</v>
      </c>
      <c r="H101" s="23">
        <v>65000</v>
      </c>
    </row>
    <row r="102" spans="6:8" ht="12.75">
      <c r="F102" t="s">
        <v>359</v>
      </c>
      <c r="G102" s="23">
        <f>SUM(G92:G101)</f>
        <v>650000</v>
      </c>
      <c r="H102" s="23">
        <f>SUM(H92:H101)</f>
        <v>650000</v>
      </c>
    </row>
    <row r="104" ht="12.75">
      <c r="C104" s="2" t="s">
        <v>387</v>
      </c>
    </row>
    <row r="105" spans="3:13" ht="12.75">
      <c r="C105" s="7"/>
      <c r="D105" s="7"/>
      <c r="E105" s="7" t="s">
        <v>373</v>
      </c>
      <c r="F105" s="7" t="s">
        <v>388</v>
      </c>
      <c r="G105" s="7" t="s">
        <v>363</v>
      </c>
      <c r="H105" s="7" t="s">
        <v>376</v>
      </c>
      <c r="I105" s="7" t="s">
        <v>333</v>
      </c>
      <c r="J105" s="7" t="s">
        <v>377</v>
      </c>
      <c r="K105" s="7" t="s">
        <v>390</v>
      </c>
      <c r="L105" s="7" t="s">
        <v>379</v>
      </c>
      <c r="M105" s="7" t="s">
        <v>205</v>
      </c>
    </row>
    <row r="106" spans="3:13" ht="12.75">
      <c r="C106" s="7" t="s">
        <v>25</v>
      </c>
      <c r="D106" s="7" t="s">
        <v>322</v>
      </c>
      <c r="E106" s="7" t="s">
        <v>374</v>
      </c>
      <c r="F106" s="7" t="s">
        <v>374</v>
      </c>
      <c r="G106" s="7" t="s">
        <v>389</v>
      </c>
      <c r="H106" s="7" t="s">
        <v>334</v>
      </c>
      <c r="I106" s="7" t="s">
        <v>22</v>
      </c>
      <c r="J106" s="7" t="s">
        <v>334</v>
      </c>
      <c r="K106" s="7" t="s">
        <v>363</v>
      </c>
      <c r="L106" s="7" t="s">
        <v>380</v>
      </c>
      <c r="M106" s="7" t="s">
        <v>285</v>
      </c>
    </row>
    <row r="107" spans="3:13" ht="12.75">
      <c r="C107">
        <v>1</v>
      </c>
      <c r="D107" s="23">
        <v>535800</v>
      </c>
      <c r="E107" s="23">
        <v>-112000</v>
      </c>
      <c r="F107" s="23">
        <v>-38000</v>
      </c>
      <c r="G107" s="23">
        <f>G92*-1</f>
        <v>-325000</v>
      </c>
      <c r="H107" s="23">
        <f>SUM(D107:G107)</f>
        <v>60800</v>
      </c>
      <c r="I107" s="23">
        <f>H107*'Lead Worksheet'!$E$50*-1</f>
        <v>-16720</v>
      </c>
      <c r="J107" s="23">
        <f>SUM(H107:I107)</f>
        <v>44080</v>
      </c>
      <c r="K107" s="23">
        <f>G92</f>
        <v>325000</v>
      </c>
      <c r="L107" s="23">
        <v>-29500</v>
      </c>
      <c r="M107" s="23">
        <f>SUM(J107:L107)</f>
        <v>339580</v>
      </c>
    </row>
    <row r="108" spans="3:13" ht="12.75">
      <c r="C108">
        <v>2</v>
      </c>
      <c r="D108" s="23">
        <v>585900</v>
      </c>
      <c r="E108" s="23">
        <v>-155100</v>
      </c>
      <c r="F108" s="23">
        <v>-46500</v>
      </c>
      <c r="G108" s="23">
        <f>G93*-1</f>
        <v>-162500</v>
      </c>
      <c r="H108" s="23">
        <f aca="true" t="shared" si="0" ref="H108:H121">SUM(D108:G108)</f>
        <v>221800</v>
      </c>
      <c r="I108" s="23">
        <f>H108*'Lead Worksheet'!$E$50*-1</f>
        <v>-60995.00000000001</v>
      </c>
      <c r="J108" s="23">
        <f aca="true" t="shared" si="1" ref="J108:J121">SUM(H108:I108)</f>
        <v>160805</v>
      </c>
      <c r="K108" s="23">
        <f>G93</f>
        <v>162500</v>
      </c>
      <c r="L108" s="23">
        <v>-33100</v>
      </c>
      <c r="M108" s="23">
        <f aca="true" t="shared" si="2" ref="M108:M121">SUM(J108:L108)</f>
        <v>290205</v>
      </c>
    </row>
    <row r="109" spans="3:13" ht="12.75">
      <c r="C109">
        <v>3</v>
      </c>
      <c r="D109" s="23">
        <v>612600</v>
      </c>
      <c r="E109" s="23">
        <v>-188600</v>
      </c>
      <c r="F109" s="23">
        <v>-54100</v>
      </c>
      <c r="G109" s="23">
        <f>G94*-1</f>
        <v>-81250</v>
      </c>
      <c r="H109" s="23">
        <f t="shared" si="0"/>
        <v>288650</v>
      </c>
      <c r="I109" s="23">
        <f>H109*'Lead Worksheet'!$E$50*-1</f>
        <v>-79378.75</v>
      </c>
      <c r="J109" s="23">
        <f t="shared" si="1"/>
        <v>209271.25</v>
      </c>
      <c r="K109" s="23">
        <f>G94</f>
        <v>81250</v>
      </c>
      <c r="L109" s="23">
        <v>-35600</v>
      </c>
      <c r="M109" s="23">
        <f t="shared" si="2"/>
        <v>254921.25</v>
      </c>
    </row>
    <row r="110" spans="3:13" ht="12.75">
      <c r="C110">
        <v>4</v>
      </c>
      <c r="D110" s="23">
        <v>636050</v>
      </c>
      <c r="E110" s="23">
        <v>-202900</v>
      </c>
      <c r="F110" s="23">
        <v>-63200</v>
      </c>
      <c r="G110" s="23">
        <f>G95*-1</f>
        <v>-40625</v>
      </c>
      <c r="H110" s="23">
        <f t="shared" si="0"/>
        <v>329325</v>
      </c>
      <c r="I110" s="23">
        <f>H110*'Lead Worksheet'!$E$50*-1</f>
        <v>-90564.37500000001</v>
      </c>
      <c r="J110" s="23">
        <f t="shared" si="1"/>
        <v>238760.625</v>
      </c>
      <c r="K110" s="23">
        <f>G95</f>
        <v>40625</v>
      </c>
      <c r="L110" s="23">
        <v>-37900</v>
      </c>
      <c r="M110" s="23">
        <f t="shared" si="2"/>
        <v>241485.625</v>
      </c>
    </row>
    <row r="111" spans="3:13" ht="12.75">
      <c r="C111">
        <v>5</v>
      </c>
      <c r="D111" s="23">
        <v>644112</v>
      </c>
      <c r="E111" s="23">
        <v>-224200</v>
      </c>
      <c r="F111" s="23">
        <v>-68900</v>
      </c>
      <c r="G111" s="23">
        <f>G96*-1</f>
        <v>-40625</v>
      </c>
      <c r="H111" s="23">
        <f t="shared" si="0"/>
        <v>310387</v>
      </c>
      <c r="I111" s="23">
        <f>H111*'Lead Worksheet'!$E$50*-1</f>
        <v>-85356.425</v>
      </c>
      <c r="J111" s="23">
        <f t="shared" si="1"/>
        <v>225030.575</v>
      </c>
      <c r="K111" s="23">
        <f>G96</f>
        <v>40625</v>
      </c>
      <c r="L111" s="23">
        <v>-38400</v>
      </c>
      <c r="M111" s="23">
        <f t="shared" si="2"/>
        <v>227255.575</v>
      </c>
    </row>
    <row r="112" spans="3:13" ht="12.75">
      <c r="C112">
        <v>6</v>
      </c>
      <c r="D112" s="23">
        <v>653500</v>
      </c>
      <c r="E112" s="23">
        <v>-241600</v>
      </c>
      <c r="F112" s="23">
        <v>-72110</v>
      </c>
      <c r="G112" s="23"/>
      <c r="H112" s="23">
        <f t="shared" si="0"/>
        <v>339790</v>
      </c>
      <c r="I112" s="23">
        <f>H112*'Lead Worksheet'!$E$50*-1</f>
        <v>-93442.25000000001</v>
      </c>
      <c r="J112" s="23">
        <f t="shared" si="1"/>
        <v>246347.75</v>
      </c>
      <c r="K112" s="23" t="s">
        <v>0</v>
      </c>
      <c r="L112" s="23">
        <v>-39200</v>
      </c>
      <c r="M112" s="23">
        <f t="shared" si="2"/>
        <v>207147.75</v>
      </c>
    </row>
    <row r="113" spans="3:13" ht="12.75">
      <c r="C113">
        <v>7</v>
      </c>
      <c r="D113" s="23">
        <v>668200</v>
      </c>
      <c r="E113" s="23">
        <v>-258800</v>
      </c>
      <c r="F113" s="23">
        <v>-77800</v>
      </c>
      <c r="G113" s="23"/>
      <c r="H113" s="23">
        <f t="shared" si="0"/>
        <v>331600</v>
      </c>
      <c r="I113" s="23">
        <f>H113*'Lead Worksheet'!$E$50*-1</f>
        <v>-91190.00000000001</v>
      </c>
      <c r="J113" s="23">
        <f t="shared" si="1"/>
        <v>240410</v>
      </c>
      <c r="K113" s="23" t="s">
        <v>0</v>
      </c>
      <c r="L113" s="23">
        <v>-40400</v>
      </c>
      <c r="M113" s="23">
        <f t="shared" si="2"/>
        <v>200010</v>
      </c>
    </row>
    <row r="114" spans="3:13" ht="12.75">
      <c r="C114">
        <v>8</v>
      </c>
      <c r="D114" s="23">
        <v>677400</v>
      </c>
      <c r="E114" s="23">
        <v>-272100</v>
      </c>
      <c r="F114" s="23">
        <v>-83100</v>
      </c>
      <c r="G114" s="23"/>
      <c r="H114" s="23">
        <f t="shared" si="0"/>
        <v>322200</v>
      </c>
      <c r="I114" s="23">
        <f>H114*'Lead Worksheet'!$E$50*-1</f>
        <v>-88605</v>
      </c>
      <c r="J114" s="23">
        <f t="shared" si="1"/>
        <v>233595</v>
      </c>
      <c r="K114" s="23" t="s">
        <v>0</v>
      </c>
      <c r="L114" s="23">
        <v>-41200</v>
      </c>
      <c r="M114" s="23">
        <f t="shared" si="2"/>
        <v>192395</v>
      </c>
    </row>
    <row r="115" spans="3:13" ht="12.75">
      <c r="C115">
        <v>9</v>
      </c>
      <c r="D115" s="23">
        <v>689800</v>
      </c>
      <c r="E115" s="23">
        <v>-287800</v>
      </c>
      <c r="F115" s="23">
        <v>-88900</v>
      </c>
      <c r="G115" s="23"/>
      <c r="H115" s="23">
        <f t="shared" si="0"/>
        <v>313100</v>
      </c>
      <c r="I115" s="23">
        <f>H115*'Lead Worksheet'!$E$50*-1</f>
        <v>-86102.5</v>
      </c>
      <c r="J115" s="23">
        <f t="shared" si="1"/>
        <v>226997.5</v>
      </c>
      <c r="K115" s="23"/>
      <c r="L115" s="23">
        <v>-41900</v>
      </c>
      <c r="M115" s="23">
        <f t="shared" si="2"/>
        <v>185097.5</v>
      </c>
    </row>
    <row r="116" spans="3:13" ht="12.75">
      <c r="C116">
        <v>10</v>
      </c>
      <c r="D116" s="23">
        <v>705300</v>
      </c>
      <c r="E116" s="23">
        <v>-298400</v>
      </c>
      <c r="F116" s="23">
        <v>-94200</v>
      </c>
      <c r="G116" s="23"/>
      <c r="H116" s="23">
        <f t="shared" si="0"/>
        <v>312700</v>
      </c>
      <c r="I116" s="23">
        <f>H116*'Lead Worksheet'!$E$50*-1</f>
        <v>-85992.5</v>
      </c>
      <c r="J116" s="23">
        <f t="shared" si="1"/>
        <v>226707.5</v>
      </c>
      <c r="K116" s="23"/>
      <c r="L116" s="23">
        <v>-42300</v>
      </c>
      <c r="M116" s="23">
        <f t="shared" si="2"/>
        <v>184407.5</v>
      </c>
    </row>
    <row r="117" spans="3:13" ht="12.75">
      <c r="C117">
        <v>11</v>
      </c>
      <c r="D117" s="23">
        <v>712900</v>
      </c>
      <c r="E117" s="23">
        <v>-309100</v>
      </c>
      <c r="F117" s="23">
        <v>-97800</v>
      </c>
      <c r="G117" s="23"/>
      <c r="H117" s="23">
        <f t="shared" si="0"/>
        <v>306000</v>
      </c>
      <c r="I117" s="23">
        <f>H117*'Lead Worksheet'!$E$50*-1</f>
        <v>-84150</v>
      </c>
      <c r="J117" s="23">
        <f t="shared" si="1"/>
        <v>221850</v>
      </c>
      <c r="K117" s="23"/>
      <c r="L117" s="23">
        <v>-42800</v>
      </c>
      <c r="M117" s="23">
        <f t="shared" si="2"/>
        <v>179050</v>
      </c>
    </row>
    <row r="118" spans="3:13" ht="12.75">
      <c r="C118">
        <v>12</v>
      </c>
      <c r="D118" s="23">
        <v>719600</v>
      </c>
      <c r="E118" s="23">
        <v>-319400</v>
      </c>
      <c r="F118" s="23">
        <v>-101050</v>
      </c>
      <c r="G118" s="23"/>
      <c r="H118" s="23">
        <f t="shared" si="0"/>
        <v>299150</v>
      </c>
      <c r="I118" s="23">
        <f>H118*'Lead Worksheet'!$E$50*-1</f>
        <v>-82266.25</v>
      </c>
      <c r="J118" s="23">
        <f t="shared" si="1"/>
        <v>216883.75</v>
      </c>
      <c r="K118" s="23"/>
      <c r="L118" s="23">
        <v>-43600</v>
      </c>
      <c r="M118" s="23">
        <f t="shared" si="2"/>
        <v>173283.75</v>
      </c>
    </row>
    <row r="119" spans="3:13" ht="12.75">
      <c r="C119">
        <v>13</v>
      </c>
      <c r="D119" s="23">
        <v>722800</v>
      </c>
      <c r="E119" s="23">
        <v>-325400</v>
      </c>
      <c r="F119" s="23">
        <v>-104900</v>
      </c>
      <c r="G119" s="23"/>
      <c r="H119" s="23">
        <f t="shared" si="0"/>
        <v>292500</v>
      </c>
      <c r="I119" s="23">
        <f>H119*'Lead Worksheet'!$E$50*-1</f>
        <v>-80437.5</v>
      </c>
      <c r="J119" s="23">
        <f t="shared" si="1"/>
        <v>212062.5</v>
      </c>
      <c r="K119" s="23"/>
      <c r="L119" s="23">
        <v>-44100</v>
      </c>
      <c r="M119" s="23">
        <f t="shared" si="2"/>
        <v>167962.5</v>
      </c>
    </row>
    <row r="120" spans="3:13" ht="12.75">
      <c r="C120">
        <v>14</v>
      </c>
      <c r="D120" s="23">
        <v>729100</v>
      </c>
      <c r="E120" s="23">
        <v>-329900</v>
      </c>
      <c r="F120" s="23">
        <v>-107800</v>
      </c>
      <c r="G120" s="23"/>
      <c r="H120" s="23">
        <f t="shared" si="0"/>
        <v>291400</v>
      </c>
      <c r="I120" s="23">
        <f>H120*'Lead Worksheet'!$E$50*-1</f>
        <v>-80135</v>
      </c>
      <c r="J120" s="23">
        <f t="shared" si="1"/>
        <v>211265</v>
      </c>
      <c r="K120" s="23"/>
      <c r="L120" s="23">
        <v>-44600</v>
      </c>
      <c r="M120" s="23">
        <f t="shared" si="2"/>
        <v>166665</v>
      </c>
    </row>
    <row r="121" spans="3:13" ht="12.75">
      <c r="C121">
        <v>15</v>
      </c>
      <c r="D121" s="23">
        <v>734300</v>
      </c>
      <c r="E121" s="23">
        <v>-334100</v>
      </c>
      <c r="F121" s="23">
        <v>-110100</v>
      </c>
      <c r="G121" s="23"/>
      <c r="H121" s="23">
        <f t="shared" si="0"/>
        <v>290100</v>
      </c>
      <c r="I121" s="23">
        <f>H121*'Lead Worksheet'!$E$50*-1</f>
        <v>-79777.5</v>
      </c>
      <c r="J121" s="23">
        <f t="shared" si="1"/>
        <v>210322.5</v>
      </c>
      <c r="K121" s="23"/>
      <c r="L121" s="23">
        <v>-45100</v>
      </c>
      <c r="M121" s="23">
        <f t="shared" si="2"/>
        <v>165222.5</v>
      </c>
    </row>
    <row r="122" spans="7:13" ht="12.75">
      <c r="G122" s="23"/>
      <c r="H122" s="23"/>
      <c r="I122" s="23"/>
      <c r="J122" s="23"/>
      <c r="K122" s="23"/>
      <c r="L122" s="23"/>
      <c r="M122" s="23"/>
    </row>
    <row r="123" spans="2:13" ht="12.75">
      <c r="B123" s="12" t="s">
        <v>396</v>
      </c>
      <c r="C123" s="13"/>
      <c r="D123" s="13"/>
      <c r="E123" s="13"/>
      <c r="F123" s="13"/>
      <c r="G123" s="13"/>
      <c r="H123" s="13"/>
      <c r="I123" s="13"/>
      <c r="J123" s="23"/>
      <c r="K123" s="23"/>
      <c r="L123" s="23"/>
      <c r="M123" s="23"/>
    </row>
    <row r="124" spans="3:13" ht="12.75">
      <c r="C124" s="7"/>
      <c r="D124" s="7"/>
      <c r="E124" s="7" t="s">
        <v>355</v>
      </c>
      <c r="F124" s="7"/>
      <c r="G124" s="61"/>
      <c r="H124" s="23"/>
      <c r="I124" s="23"/>
      <c r="J124" s="23"/>
      <c r="K124" s="23"/>
      <c r="L124" s="23"/>
      <c r="M124" s="23"/>
    </row>
    <row r="125" spans="3:13" ht="12.75">
      <c r="C125" s="7" t="s">
        <v>25</v>
      </c>
      <c r="D125" s="7" t="s">
        <v>381</v>
      </c>
      <c r="E125" s="7" t="s">
        <v>162</v>
      </c>
      <c r="F125" s="7" t="s">
        <v>165</v>
      </c>
      <c r="G125" s="61"/>
      <c r="H125" s="23"/>
      <c r="I125" s="23"/>
      <c r="J125" s="23"/>
      <c r="K125" s="23"/>
      <c r="L125" s="23"/>
      <c r="M125" s="23"/>
    </row>
    <row r="126" spans="3:13" ht="12.75">
      <c r="C126" s="22">
        <v>0</v>
      </c>
      <c r="D126" s="66">
        <f>G86*-1</f>
        <v>-1215000</v>
      </c>
      <c r="E126" s="66">
        <f>D126</f>
        <v>-1215000</v>
      </c>
      <c r="F126" s="22"/>
      <c r="G126" s="66"/>
      <c r="H126" s="66"/>
      <c r="I126" s="23"/>
      <c r="J126" s="23"/>
      <c r="K126" s="23"/>
      <c r="L126" s="23"/>
      <c r="M126" s="23"/>
    </row>
    <row r="127" spans="3:13" ht="12.75">
      <c r="C127">
        <v>1</v>
      </c>
      <c r="D127" s="66">
        <f>M107</f>
        <v>339580</v>
      </c>
      <c r="E127" s="66">
        <f>D127/(1+$G$144)^C127</f>
        <v>303874.7203579419</v>
      </c>
      <c r="F127" s="23">
        <f>SUM($E$126:E127)</f>
        <v>-911125.2796420581</v>
      </c>
      <c r="G127" s="66"/>
      <c r="H127" s="66"/>
      <c r="I127" s="23"/>
      <c r="J127" s="23"/>
      <c r="K127" s="23"/>
      <c r="L127" s="23"/>
      <c r="M127" s="23"/>
    </row>
    <row r="128" spans="3:13" ht="12.75">
      <c r="C128">
        <v>2</v>
      </c>
      <c r="D128" s="66">
        <f aca="true" t="shared" si="3" ref="D128:D141">M108</f>
        <v>290205</v>
      </c>
      <c r="E128" s="66">
        <f aca="true" t="shared" si="4" ref="E128:E141">D128/(1+$G$144)^C128</f>
        <v>232385.92856177653</v>
      </c>
      <c r="F128" s="23">
        <f>SUM($E$126:E128)</f>
        <v>-678739.3510802815</v>
      </c>
      <c r="G128" s="66"/>
      <c r="H128" s="66"/>
      <c r="I128" s="23"/>
      <c r="J128" s="23"/>
      <c r="K128" s="23"/>
      <c r="L128" s="23"/>
      <c r="M128" s="23"/>
    </row>
    <row r="129" spans="3:13" ht="12.75">
      <c r="C129">
        <v>3</v>
      </c>
      <c r="D129" s="66">
        <f t="shared" si="3"/>
        <v>254921.25</v>
      </c>
      <c r="E129" s="66">
        <f t="shared" si="4"/>
        <v>182668.40806124214</v>
      </c>
      <c r="F129" s="23">
        <f>SUM($E$126:E129)</f>
        <v>-496070.9430190394</v>
      </c>
      <c r="G129" s="66"/>
      <c r="H129" s="66"/>
      <c r="I129" s="23"/>
      <c r="J129" s="23"/>
      <c r="K129" s="23"/>
      <c r="L129" s="23"/>
      <c r="M129" s="23"/>
    </row>
    <row r="130" spans="3:13" ht="12.75">
      <c r="C130">
        <v>4</v>
      </c>
      <c r="D130" s="66">
        <f t="shared" si="3"/>
        <v>241485.625</v>
      </c>
      <c r="E130" s="66">
        <f t="shared" si="4"/>
        <v>154846.41542966865</v>
      </c>
      <c r="F130" s="23">
        <f>SUM($E$126:E130)</f>
        <v>-341224.52758937073</v>
      </c>
      <c r="G130" s="66"/>
      <c r="H130" s="66"/>
      <c r="I130" s="23"/>
      <c r="J130" s="23"/>
      <c r="K130" s="23"/>
      <c r="L130" s="23"/>
      <c r="M130" s="23"/>
    </row>
    <row r="131" spans="3:13" ht="12.75">
      <c r="C131">
        <v>5</v>
      </c>
      <c r="D131" s="66">
        <f t="shared" si="3"/>
        <v>227255.575</v>
      </c>
      <c r="E131" s="66">
        <f t="shared" si="4"/>
        <v>130399.78851607333</v>
      </c>
      <c r="F131" s="23">
        <f>SUM($E$126:E131)</f>
        <v>-210824.73907329742</v>
      </c>
      <c r="G131" s="66"/>
      <c r="H131" s="66"/>
      <c r="I131" s="23"/>
      <c r="J131" s="23"/>
      <c r="K131" s="23"/>
      <c r="L131" s="23"/>
      <c r="M131" s="23"/>
    </row>
    <row r="132" spans="3:13" ht="12.75">
      <c r="C132">
        <v>6</v>
      </c>
      <c r="D132" s="66">
        <f t="shared" si="3"/>
        <v>207147.75</v>
      </c>
      <c r="E132" s="66">
        <f t="shared" si="4"/>
        <v>106364.09019091031</v>
      </c>
      <c r="F132" s="23">
        <f>SUM($E$126:E132)</f>
        <v>-104460.6488823871</v>
      </c>
      <c r="G132" s="66"/>
      <c r="H132" s="66"/>
      <c r="I132" s="23"/>
      <c r="J132" s="23"/>
      <c r="K132" s="23"/>
      <c r="L132" s="23"/>
      <c r="M132" s="23"/>
    </row>
    <row r="133" spans="3:13" ht="12.75">
      <c r="C133">
        <v>7</v>
      </c>
      <c r="D133" s="66">
        <f t="shared" si="3"/>
        <v>200010</v>
      </c>
      <c r="E133" s="66">
        <f t="shared" si="4"/>
        <v>91900.73551515788</v>
      </c>
      <c r="F133" s="23">
        <f>SUM($E$126:E133)</f>
        <v>-12559.913367229223</v>
      </c>
      <c r="G133" s="66"/>
      <c r="H133" s="66"/>
      <c r="I133" s="23"/>
      <c r="J133" s="23"/>
      <c r="K133" s="23"/>
      <c r="L133" s="23"/>
      <c r="M133" s="23"/>
    </row>
    <row r="134" spans="3:13" ht="12.75">
      <c r="C134">
        <v>8</v>
      </c>
      <c r="D134" s="66">
        <f t="shared" si="3"/>
        <v>192395</v>
      </c>
      <c r="E134" s="66">
        <f t="shared" si="4"/>
        <v>79106.74716572359</v>
      </c>
      <c r="F134" s="23">
        <f>SUM($E$126:E134)</f>
        <v>66546.83379849436</v>
      </c>
      <c r="G134" s="66" t="s">
        <v>263</v>
      </c>
      <c r="H134" s="66"/>
      <c r="I134" s="23"/>
      <c r="J134" s="23"/>
      <c r="K134" s="23"/>
      <c r="L134" s="23"/>
      <c r="M134" s="23"/>
    </row>
    <row r="135" spans="3:13" ht="12.75">
      <c r="C135">
        <v>9</v>
      </c>
      <c r="D135" s="66">
        <f t="shared" si="3"/>
        <v>185097.5</v>
      </c>
      <c r="E135" s="66">
        <f t="shared" si="4"/>
        <v>68104.02296081439</v>
      </c>
      <c r="F135" s="23">
        <f>SUM($E$126:E135)</f>
        <v>134650.85675930875</v>
      </c>
      <c r="G135" s="66"/>
      <c r="H135" s="66"/>
      <c r="I135" s="23"/>
      <c r="J135" s="23"/>
      <c r="K135" s="23"/>
      <c r="L135" s="23"/>
      <c r="M135" s="23"/>
    </row>
    <row r="136" spans="3:13" ht="12.75">
      <c r="C136">
        <v>10</v>
      </c>
      <c r="D136" s="66">
        <f t="shared" si="3"/>
        <v>184407.5</v>
      </c>
      <c r="E136" s="66">
        <f t="shared" si="4"/>
        <v>60716.01535666327</v>
      </c>
      <c r="F136" s="23">
        <f>SUM($E$126:E136)</f>
        <v>195366.87211597202</v>
      </c>
      <c r="G136" s="66"/>
      <c r="H136" s="66"/>
      <c r="I136" s="23"/>
      <c r="J136" s="23"/>
      <c r="K136" s="23"/>
      <c r="L136" s="23"/>
      <c r="M136" s="23"/>
    </row>
    <row r="137" spans="3:13" ht="12.75">
      <c r="C137">
        <v>11</v>
      </c>
      <c r="D137" s="66">
        <f t="shared" si="3"/>
        <v>179050</v>
      </c>
      <c r="E137" s="66">
        <f t="shared" si="4"/>
        <v>52753.52389823887</v>
      </c>
      <c r="F137" s="23">
        <f>SUM($E$126:E137)</f>
        <v>248120.39601421088</v>
      </c>
      <c r="G137" s="66"/>
      <c r="H137" s="66"/>
      <c r="I137" s="23"/>
      <c r="J137" s="23"/>
      <c r="K137" s="23"/>
      <c r="L137" s="23"/>
      <c r="M137" s="23"/>
    </row>
    <row r="138" spans="3:13" ht="12.75">
      <c r="C138">
        <v>12</v>
      </c>
      <c r="D138" s="66">
        <f t="shared" si="3"/>
        <v>173283.75</v>
      </c>
      <c r="E138" s="66">
        <f t="shared" si="4"/>
        <v>45686.45453191095</v>
      </c>
      <c r="F138" s="23">
        <f>SUM($E$126:E138)</f>
        <v>293806.85054612183</v>
      </c>
      <c r="G138" s="66"/>
      <c r="H138" s="66"/>
      <c r="I138" s="23"/>
      <c r="J138" s="23"/>
      <c r="K138" s="23"/>
      <c r="L138" s="23"/>
      <c r="M138" s="23"/>
    </row>
    <row r="139" spans="3:13" ht="12.75">
      <c r="C139">
        <v>13</v>
      </c>
      <c r="D139" s="66">
        <f t="shared" si="3"/>
        <v>167962.5</v>
      </c>
      <c r="E139" s="66">
        <f t="shared" si="4"/>
        <v>39627.29397474536</v>
      </c>
      <c r="F139" s="23">
        <f>SUM($E$126:E139)</f>
        <v>333434.1445208672</v>
      </c>
      <c r="G139" s="66"/>
      <c r="H139" s="66"/>
      <c r="I139" s="23"/>
      <c r="J139" s="23"/>
      <c r="K139" s="23"/>
      <c r="L139" s="23"/>
      <c r="M139" s="23"/>
    </row>
    <row r="140" spans="3:13" ht="12.75">
      <c r="C140">
        <v>14</v>
      </c>
      <c r="D140" s="66">
        <f t="shared" si="3"/>
        <v>166665</v>
      </c>
      <c r="E140" s="66">
        <f t="shared" si="4"/>
        <v>35186.73428350114</v>
      </c>
      <c r="F140" s="23">
        <f>SUM($E$126:E140)</f>
        <v>368620.8788043683</v>
      </c>
      <c r="G140" s="66"/>
      <c r="H140" s="66"/>
      <c r="I140" s="23"/>
      <c r="J140" s="23"/>
      <c r="K140" s="23"/>
      <c r="L140" s="23"/>
      <c r="M140" s="23"/>
    </row>
    <row r="141" spans="3:13" ht="12.75">
      <c r="C141">
        <v>15</v>
      </c>
      <c r="D141" s="66">
        <f t="shared" si="3"/>
        <v>165222.5</v>
      </c>
      <c r="E141" s="66">
        <f t="shared" si="4"/>
        <v>31214.487743029204</v>
      </c>
      <c r="F141" s="23">
        <f>SUM($E$126:E141)</f>
        <v>399835.3665473975</v>
      </c>
      <c r="G141" s="66"/>
      <c r="H141" s="66"/>
      <c r="I141" s="23"/>
      <c r="J141" s="23"/>
      <c r="K141" s="23"/>
      <c r="L141" s="23"/>
      <c r="M141" s="23"/>
    </row>
    <row r="142" spans="3:13" ht="12.75">
      <c r="C142" t="s">
        <v>159</v>
      </c>
      <c r="D142" s="22"/>
      <c r="E142" s="66">
        <f>SUM(E126:E141)</f>
        <v>399835.3665473975</v>
      </c>
      <c r="F142" s="22"/>
      <c r="G142" s="66"/>
      <c r="H142" s="66"/>
      <c r="I142" s="23"/>
      <c r="J142" s="23"/>
      <c r="K142" s="23"/>
      <c r="L142" s="23"/>
      <c r="M142" s="23"/>
    </row>
    <row r="143" spans="7:13" ht="12.75">
      <c r="G143" s="23"/>
      <c r="H143" s="23"/>
      <c r="I143" s="23"/>
      <c r="J143" s="23"/>
      <c r="K143" s="23"/>
      <c r="L143" s="23"/>
      <c r="M143" s="23"/>
    </row>
    <row r="144" spans="3:13" ht="12.75">
      <c r="C144" t="s">
        <v>160</v>
      </c>
      <c r="G144" s="21">
        <v>0.1175</v>
      </c>
      <c r="I144" s="23"/>
      <c r="J144" s="23"/>
      <c r="K144" s="23"/>
      <c r="L144" s="23"/>
      <c r="M144" s="23"/>
    </row>
    <row r="145" spans="3:13" ht="12.75">
      <c r="C145" t="s">
        <v>164</v>
      </c>
      <c r="G145" s="21">
        <v>0.045</v>
      </c>
      <c r="I145" s="23"/>
      <c r="J145" s="23"/>
      <c r="K145" s="23"/>
      <c r="L145" s="23"/>
      <c r="M145" s="23"/>
    </row>
    <row r="146" spans="3:13" ht="12.75">
      <c r="C146" t="s">
        <v>0</v>
      </c>
      <c r="H146" t="s">
        <v>0</v>
      </c>
      <c r="I146" s="23"/>
      <c r="J146" s="23"/>
      <c r="K146" s="23"/>
      <c r="L146" s="23"/>
      <c r="M146" s="23"/>
    </row>
    <row r="147" spans="3:13" ht="12.75">
      <c r="C147" s="11" t="s">
        <v>159</v>
      </c>
      <c r="F147" s="40">
        <f>NPV(G144,D127:D141)+D126</f>
        <v>399835.36654739757</v>
      </c>
      <c r="G147" t="s">
        <v>0</v>
      </c>
      <c r="H147" s="23" t="s">
        <v>0</v>
      </c>
      <c r="I147" s="23"/>
      <c r="J147" s="23"/>
      <c r="K147" s="23"/>
      <c r="L147" s="23"/>
      <c r="M147" s="23"/>
    </row>
    <row r="148" spans="3:13" ht="12.75">
      <c r="C148" s="11" t="s">
        <v>163</v>
      </c>
      <c r="F148" s="39">
        <f>MIRR(D126:D141,,G145)</f>
        <v>0.09248402671473133</v>
      </c>
      <c r="I148" s="23"/>
      <c r="J148" s="23"/>
      <c r="K148" s="23"/>
      <c r="L148" s="23"/>
      <c r="M148" s="23"/>
    </row>
    <row r="149" spans="3:13" ht="12.75">
      <c r="C149" s="11" t="s">
        <v>168</v>
      </c>
      <c r="F149" s="42">
        <f>8+((F133*-1)/E134)</f>
        <v>8.158771708068302</v>
      </c>
      <c r="I149" s="23"/>
      <c r="J149" s="23"/>
      <c r="K149" s="23"/>
      <c r="L149" s="23"/>
      <c r="M149" s="23"/>
    </row>
    <row r="150" spans="3:13" ht="12.75">
      <c r="C150" s="11"/>
      <c r="F150" s="42"/>
      <c r="I150" s="23"/>
      <c r="J150" s="23"/>
      <c r="K150" s="23"/>
      <c r="L150" s="23"/>
      <c r="M150" s="23"/>
    </row>
    <row r="151" ht="12.75">
      <c r="C151" t="s">
        <v>0</v>
      </c>
    </row>
    <row r="152" spans="2:11" ht="12.75">
      <c r="B152" t="s">
        <v>0</v>
      </c>
      <c r="C152" s="2" t="s">
        <v>386</v>
      </c>
      <c r="K152" t="s">
        <v>0</v>
      </c>
    </row>
    <row r="153" spans="2:14" ht="12.75">
      <c r="B153" t="s">
        <v>0</v>
      </c>
      <c r="C153" s="7"/>
      <c r="D153" s="7"/>
      <c r="E153" s="7" t="s">
        <v>373</v>
      </c>
      <c r="F153" s="7" t="s">
        <v>375</v>
      </c>
      <c r="G153" s="7" t="s">
        <v>376</v>
      </c>
      <c r="H153" s="7" t="s">
        <v>333</v>
      </c>
      <c r="I153" s="7" t="s">
        <v>377</v>
      </c>
      <c r="J153" s="7" t="s">
        <v>364</v>
      </c>
      <c r="K153" s="7" t="s">
        <v>364</v>
      </c>
      <c r="L153" s="7" t="s">
        <v>383</v>
      </c>
      <c r="M153" s="7" t="s">
        <v>379</v>
      </c>
      <c r="N153" s="7" t="s">
        <v>205</v>
      </c>
    </row>
    <row r="154" spans="3:14" ht="12.75">
      <c r="C154" s="7" t="s">
        <v>25</v>
      </c>
      <c r="D154" s="7" t="s">
        <v>322</v>
      </c>
      <c r="E154" s="7" t="s">
        <v>374</v>
      </c>
      <c r="F154" s="7" t="s">
        <v>374</v>
      </c>
      <c r="G154" s="7" t="s">
        <v>334</v>
      </c>
      <c r="H154" s="7" t="s">
        <v>22</v>
      </c>
      <c r="I154" s="7" t="s">
        <v>334</v>
      </c>
      <c r="J154" s="7" t="s">
        <v>363</v>
      </c>
      <c r="K154" s="7" t="s">
        <v>362</v>
      </c>
      <c r="L154" s="7" t="s">
        <v>360</v>
      </c>
      <c r="M154" s="7" t="s">
        <v>380</v>
      </c>
      <c r="N154" s="7" t="s">
        <v>285</v>
      </c>
    </row>
    <row r="155" spans="3:15" ht="12.75">
      <c r="C155">
        <v>1</v>
      </c>
      <c r="D155" s="23">
        <v>535800</v>
      </c>
      <c r="E155" s="23">
        <v>-112000</v>
      </c>
      <c r="F155" s="23">
        <v>-38000</v>
      </c>
      <c r="G155" s="23">
        <f>SUM(D155:F155)</f>
        <v>385800</v>
      </c>
      <c r="H155" s="23">
        <f>G155*'Lead Worksheet'!$E$50*-1</f>
        <v>-106095.00000000001</v>
      </c>
      <c r="I155" s="23">
        <f>SUM(G155:H155)</f>
        <v>279705</v>
      </c>
      <c r="J155" s="23">
        <f>I92</f>
        <v>89375</v>
      </c>
      <c r="K155" s="23">
        <f>I72</f>
        <v>12375.000000000002</v>
      </c>
      <c r="L155" s="23">
        <f>H72</f>
        <v>-128546.2284783724</v>
      </c>
      <c r="M155" s="23">
        <v>-29500</v>
      </c>
      <c r="N155" s="23">
        <f>SUM(I155:M155)</f>
        <v>223408.7715216276</v>
      </c>
      <c r="O155" s="23"/>
    </row>
    <row r="156" spans="3:15" ht="12.75">
      <c r="C156">
        <v>2</v>
      </c>
      <c r="D156" s="23">
        <v>585900</v>
      </c>
      <c r="E156" s="23">
        <v>-155100</v>
      </c>
      <c r="F156" s="23">
        <v>-46500</v>
      </c>
      <c r="G156" s="23">
        <f aca="true" t="shared" si="5" ref="G156:G169">SUM(D156:F156)</f>
        <v>384300</v>
      </c>
      <c r="H156" s="23">
        <f>G156*'Lead Worksheet'!$E$50*-1</f>
        <v>-105682.50000000001</v>
      </c>
      <c r="I156" s="23">
        <f aca="true" t="shared" si="6" ref="I156:I169">SUM(G156:H156)</f>
        <v>278617.5</v>
      </c>
      <c r="J156" s="23">
        <f>I93</f>
        <v>44687.5</v>
      </c>
      <c r="K156" s="23">
        <f>I73</f>
        <v>10307.230845160282</v>
      </c>
      <c r="L156" s="23">
        <f>H73</f>
        <v>-128546.2284783724</v>
      </c>
      <c r="M156" s="23">
        <v>-33100</v>
      </c>
      <c r="N156" s="23">
        <f aca="true" t="shared" si="7" ref="N156:N169">SUM(I156:M156)</f>
        <v>171966.00236678787</v>
      </c>
      <c r="O156" s="23"/>
    </row>
    <row r="157" spans="3:15" ht="12.75">
      <c r="C157">
        <v>3</v>
      </c>
      <c r="D157" s="23">
        <v>612600</v>
      </c>
      <c r="E157" s="23">
        <v>-188600</v>
      </c>
      <c r="F157" s="23">
        <v>-54100</v>
      </c>
      <c r="G157" s="23">
        <f t="shared" si="5"/>
        <v>369900</v>
      </c>
      <c r="H157" s="23">
        <f>G157*'Lead Worksheet'!$E$50*-1</f>
        <v>-101722.50000000001</v>
      </c>
      <c r="I157" s="23">
        <f t="shared" si="6"/>
        <v>268177.5</v>
      </c>
      <c r="J157" s="23">
        <f>I94</f>
        <v>22343.75</v>
      </c>
      <c r="K157" s="23">
        <f>I74</f>
        <v>8053.362466384991</v>
      </c>
      <c r="L157" s="23">
        <f>H74</f>
        <v>-128546.2284783724</v>
      </c>
      <c r="M157" s="23">
        <v>-35600</v>
      </c>
      <c r="N157" s="23">
        <f t="shared" si="7"/>
        <v>134428.38398801262</v>
      </c>
      <c r="O157" s="23"/>
    </row>
    <row r="158" spans="3:15" ht="12.75">
      <c r="C158">
        <v>4</v>
      </c>
      <c r="D158" s="23">
        <v>636050</v>
      </c>
      <c r="E158" s="23">
        <v>-202900</v>
      </c>
      <c r="F158" s="23">
        <v>-63200</v>
      </c>
      <c r="G158" s="23">
        <f t="shared" si="5"/>
        <v>369950</v>
      </c>
      <c r="H158" s="23">
        <f>G158*'Lead Worksheet'!$E$50*-1</f>
        <v>-101736.25000000001</v>
      </c>
      <c r="I158" s="23">
        <f t="shared" si="6"/>
        <v>268213.75</v>
      </c>
      <c r="J158" s="23">
        <f>I95</f>
        <v>11171.875</v>
      </c>
      <c r="K158" s="23">
        <f>I75</f>
        <v>5596.645933519923</v>
      </c>
      <c r="L158" s="23">
        <f>H75</f>
        <v>-128546.2284783724</v>
      </c>
      <c r="M158" s="23">
        <v>-37900</v>
      </c>
      <c r="N158" s="23">
        <f t="shared" si="7"/>
        <v>118536.04245514754</v>
      </c>
      <c r="O158" s="23"/>
    </row>
    <row r="159" spans="3:15" ht="12.75">
      <c r="C159">
        <v>5</v>
      </c>
      <c r="D159" s="23">
        <v>644112</v>
      </c>
      <c r="E159" s="23">
        <v>-224200</v>
      </c>
      <c r="F159" s="23">
        <v>-68900</v>
      </c>
      <c r="G159" s="23">
        <f t="shared" si="5"/>
        <v>351012</v>
      </c>
      <c r="H159" s="23">
        <f>G159*'Lead Worksheet'!$E$50*-1</f>
        <v>-96528.3</v>
      </c>
      <c r="I159" s="23">
        <f t="shared" si="6"/>
        <v>254483.7</v>
      </c>
      <c r="J159" s="23">
        <f>I96</f>
        <v>11171.875</v>
      </c>
      <c r="K159" s="23">
        <f>I76</f>
        <v>2918.8249126969995</v>
      </c>
      <c r="L159" s="23">
        <f>H76</f>
        <v>-128546.2284783724</v>
      </c>
      <c r="M159" s="23">
        <v>-38400</v>
      </c>
      <c r="N159" s="23">
        <f t="shared" si="7"/>
        <v>101628.17143432464</v>
      </c>
      <c r="O159" s="23"/>
    </row>
    <row r="160" spans="3:15" ht="12.75">
      <c r="C160">
        <v>6</v>
      </c>
      <c r="D160" s="23">
        <v>653500</v>
      </c>
      <c r="E160" s="23">
        <v>-241600</v>
      </c>
      <c r="F160" s="23">
        <v>-72110</v>
      </c>
      <c r="G160" s="23">
        <f t="shared" si="5"/>
        <v>339790</v>
      </c>
      <c r="H160" s="23">
        <f>G160*'Lead Worksheet'!$E$50*-1</f>
        <v>-93442.25000000001</v>
      </c>
      <c r="I160" s="23">
        <f t="shared" si="6"/>
        <v>246347.75</v>
      </c>
      <c r="J160" s="23" t="s">
        <v>0</v>
      </c>
      <c r="K160" s="23" t="s">
        <v>0</v>
      </c>
      <c r="L160" s="23" t="s">
        <v>0</v>
      </c>
      <c r="M160" s="23">
        <v>-39200</v>
      </c>
      <c r="N160" s="23">
        <f t="shared" si="7"/>
        <v>207147.75</v>
      </c>
      <c r="O160" s="23"/>
    </row>
    <row r="161" spans="3:15" ht="12.75">
      <c r="C161">
        <v>7</v>
      </c>
      <c r="D161" s="23">
        <v>668200</v>
      </c>
      <c r="E161" s="23">
        <v>-258800</v>
      </c>
      <c r="F161" s="23">
        <v>-77800</v>
      </c>
      <c r="G161" s="23">
        <f t="shared" si="5"/>
        <v>331600</v>
      </c>
      <c r="H161" s="23">
        <f>G161*'Lead Worksheet'!$E$50*-1</f>
        <v>-91190.00000000001</v>
      </c>
      <c r="I161" s="23">
        <f t="shared" si="6"/>
        <v>240410</v>
      </c>
      <c r="K161" s="23"/>
      <c r="L161" s="23"/>
      <c r="M161" s="23">
        <v>-40400</v>
      </c>
      <c r="N161" s="23">
        <f t="shared" si="7"/>
        <v>200010</v>
      </c>
      <c r="O161" s="23"/>
    </row>
    <row r="162" spans="3:15" ht="12.75">
      <c r="C162">
        <v>8</v>
      </c>
      <c r="D162" s="23">
        <v>677400</v>
      </c>
      <c r="E162" s="23">
        <v>-272100</v>
      </c>
      <c r="F162" s="23">
        <v>-83100</v>
      </c>
      <c r="G162" s="23">
        <f t="shared" si="5"/>
        <v>322200</v>
      </c>
      <c r="H162" s="23">
        <f>G162*'Lead Worksheet'!$E$50*-1</f>
        <v>-88605</v>
      </c>
      <c r="I162" s="23">
        <f t="shared" si="6"/>
        <v>233595</v>
      </c>
      <c r="K162" s="23"/>
      <c r="L162" s="23"/>
      <c r="M162" s="23">
        <v>-41200</v>
      </c>
      <c r="N162" s="23">
        <f t="shared" si="7"/>
        <v>192395</v>
      </c>
      <c r="O162" s="23"/>
    </row>
    <row r="163" spans="3:15" ht="12.75">
      <c r="C163">
        <v>9</v>
      </c>
      <c r="D163" s="23">
        <v>689800</v>
      </c>
      <c r="E163" s="23">
        <v>-287800</v>
      </c>
      <c r="F163" s="23">
        <v>-88900</v>
      </c>
      <c r="G163" s="23">
        <f t="shared" si="5"/>
        <v>313100</v>
      </c>
      <c r="H163" s="23">
        <f>G163*'Lead Worksheet'!$E$50*-1</f>
        <v>-86102.5</v>
      </c>
      <c r="I163" s="23">
        <f t="shared" si="6"/>
        <v>226997.5</v>
      </c>
      <c r="K163" s="23"/>
      <c r="L163" s="23"/>
      <c r="M163" s="23">
        <v>-41900</v>
      </c>
      <c r="N163" s="23">
        <f t="shared" si="7"/>
        <v>185097.5</v>
      </c>
      <c r="O163" s="23"/>
    </row>
    <row r="164" spans="3:15" ht="12.75">
      <c r="C164">
        <v>10</v>
      </c>
      <c r="D164" s="23">
        <v>705300</v>
      </c>
      <c r="E164" s="23">
        <v>-298400</v>
      </c>
      <c r="F164" s="23">
        <v>-94200</v>
      </c>
      <c r="G164" s="23">
        <f t="shared" si="5"/>
        <v>312700</v>
      </c>
      <c r="H164" s="23">
        <f>G164*'Lead Worksheet'!$E$50*-1</f>
        <v>-85992.5</v>
      </c>
      <c r="I164" s="23">
        <f t="shared" si="6"/>
        <v>226707.5</v>
      </c>
      <c r="K164" s="23"/>
      <c r="L164" s="23"/>
      <c r="M164" s="23">
        <v>-42300</v>
      </c>
      <c r="N164" s="23">
        <f t="shared" si="7"/>
        <v>184407.5</v>
      </c>
      <c r="O164" s="23"/>
    </row>
    <row r="165" spans="3:15" ht="12.75">
      <c r="C165">
        <v>11</v>
      </c>
      <c r="D165" s="23">
        <v>712900</v>
      </c>
      <c r="E165" s="23">
        <v>-309100</v>
      </c>
      <c r="F165" s="23">
        <v>-97800</v>
      </c>
      <c r="G165" s="23">
        <f t="shared" si="5"/>
        <v>306000</v>
      </c>
      <c r="H165" s="23">
        <f>G165*'Lead Worksheet'!$E$50*-1</f>
        <v>-84150</v>
      </c>
      <c r="I165" s="23">
        <f t="shared" si="6"/>
        <v>221850</v>
      </c>
      <c r="K165" s="23"/>
      <c r="L165" s="23"/>
      <c r="M165" s="23">
        <v>-42800</v>
      </c>
      <c r="N165" s="23">
        <f t="shared" si="7"/>
        <v>179050</v>
      </c>
      <c r="O165" s="23"/>
    </row>
    <row r="166" spans="3:15" ht="12.75">
      <c r="C166">
        <v>12</v>
      </c>
      <c r="D166" s="23">
        <v>719600</v>
      </c>
      <c r="E166" s="23">
        <v>-319400</v>
      </c>
      <c r="F166" s="23">
        <v>-101050</v>
      </c>
      <c r="G166" s="23">
        <f t="shared" si="5"/>
        <v>299150</v>
      </c>
      <c r="H166" s="23">
        <f>G166*'Lead Worksheet'!$E$50*-1</f>
        <v>-82266.25</v>
      </c>
      <c r="I166" s="23">
        <f t="shared" si="6"/>
        <v>216883.75</v>
      </c>
      <c r="K166" s="23"/>
      <c r="L166" s="23"/>
      <c r="M166" s="23">
        <v>-43600</v>
      </c>
      <c r="N166" s="23">
        <f t="shared" si="7"/>
        <v>173283.75</v>
      </c>
      <c r="O166" s="23"/>
    </row>
    <row r="167" spans="3:15" ht="12.75">
      <c r="C167">
        <v>13</v>
      </c>
      <c r="D167" s="23">
        <v>722800</v>
      </c>
      <c r="E167" s="23">
        <v>-325400</v>
      </c>
      <c r="F167" s="23">
        <v>-104900</v>
      </c>
      <c r="G167" s="23">
        <f t="shared" si="5"/>
        <v>292500</v>
      </c>
      <c r="H167" s="23">
        <f>G167*'Lead Worksheet'!$E$50*-1</f>
        <v>-80437.5</v>
      </c>
      <c r="I167" s="23">
        <f t="shared" si="6"/>
        <v>212062.5</v>
      </c>
      <c r="K167" s="23"/>
      <c r="L167" s="23"/>
      <c r="M167" s="23">
        <v>-44100</v>
      </c>
      <c r="N167" s="23">
        <f t="shared" si="7"/>
        <v>167962.5</v>
      </c>
      <c r="O167" s="23"/>
    </row>
    <row r="168" spans="3:15" ht="12.75">
      <c r="C168">
        <v>14</v>
      </c>
      <c r="D168" s="23">
        <v>729100</v>
      </c>
      <c r="E168" s="23">
        <v>-329900</v>
      </c>
      <c r="F168" s="23">
        <v>-107800</v>
      </c>
      <c r="G168" s="23">
        <f t="shared" si="5"/>
        <v>291400</v>
      </c>
      <c r="H168" s="23">
        <f>G168*'Lead Worksheet'!$E$50*-1</f>
        <v>-80135</v>
      </c>
      <c r="I168" s="23">
        <f t="shared" si="6"/>
        <v>211265</v>
      </c>
      <c r="K168" s="23"/>
      <c r="L168" s="23"/>
      <c r="M168" s="23">
        <v>-44600</v>
      </c>
      <c r="N168" s="23">
        <f t="shared" si="7"/>
        <v>166665</v>
      </c>
      <c r="O168" s="23"/>
    </row>
    <row r="169" spans="3:15" ht="12.75">
      <c r="C169">
        <v>15</v>
      </c>
      <c r="D169" s="23">
        <v>734300</v>
      </c>
      <c r="E169" s="23">
        <v>-334100</v>
      </c>
      <c r="F169" s="23">
        <v>-110100</v>
      </c>
      <c r="G169" s="23">
        <f t="shared" si="5"/>
        <v>290100</v>
      </c>
      <c r="H169" s="23">
        <f>G169*'Lead Worksheet'!$E$50*-1</f>
        <v>-79777.5</v>
      </c>
      <c r="I169" s="23">
        <f t="shared" si="6"/>
        <v>210322.5</v>
      </c>
      <c r="K169" s="23"/>
      <c r="L169" s="23"/>
      <c r="M169" s="23">
        <v>-45100</v>
      </c>
      <c r="N169" s="23">
        <f t="shared" si="7"/>
        <v>165222.5</v>
      </c>
      <c r="O169" s="23"/>
    </row>
    <row r="170" spans="4:15" ht="12.75">
      <c r="D170" s="23"/>
      <c r="E170" s="23"/>
      <c r="F170" s="23"/>
      <c r="G170" s="23"/>
      <c r="H170" s="23"/>
      <c r="I170" s="23"/>
      <c r="J170" s="23"/>
      <c r="K170" s="23"/>
      <c r="L170" s="23"/>
      <c r="M170" s="23"/>
      <c r="N170" s="23"/>
      <c r="O170" s="23"/>
    </row>
    <row r="171" spans="2:15" ht="12.75">
      <c r="B171" s="12" t="s">
        <v>397</v>
      </c>
      <c r="C171" s="13"/>
      <c r="D171" s="13"/>
      <c r="E171" s="13"/>
      <c r="F171" s="13"/>
      <c r="G171" s="13"/>
      <c r="H171" s="13"/>
      <c r="I171" s="13"/>
      <c r="J171" s="23"/>
      <c r="K171" s="23"/>
      <c r="L171" s="23"/>
      <c r="M171" s="23"/>
      <c r="N171" s="23"/>
      <c r="O171" s="23"/>
    </row>
    <row r="172" spans="3:15" ht="12.75">
      <c r="C172" s="7"/>
      <c r="D172" s="7"/>
      <c r="E172" s="7" t="s">
        <v>355</v>
      </c>
      <c r="F172" s="7"/>
      <c r="G172" s="61"/>
      <c r="H172" s="23"/>
      <c r="I172" s="23"/>
      <c r="J172" s="23"/>
      <c r="K172" s="23"/>
      <c r="L172" s="23"/>
      <c r="M172" s="23"/>
      <c r="N172" s="23"/>
      <c r="O172" s="23"/>
    </row>
    <row r="173" spans="3:15" ht="12.75">
      <c r="C173" s="7" t="s">
        <v>25</v>
      </c>
      <c r="D173" s="7" t="s">
        <v>381</v>
      </c>
      <c r="E173" s="7" t="s">
        <v>162</v>
      </c>
      <c r="F173" s="7" t="s">
        <v>165</v>
      </c>
      <c r="G173" s="61"/>
      <c r="H173" s="23"/>
      <c r="I173" s="23"/>
      <c r="J173" s="23"/>
      <c r="K173" s="23"/>
      <c r="L173" s="23"/>
      <c r="M173" s="23"/>
      <c r="N173" s="23"/>
      <c r="O173" s="23"/>
    </row>
    <row r="174" spans="3:11" ht="12.75">
      <c r="C174">
        <v>0</v>
      </c>
      <c r="D174" s="23">
        <f>G86*-1</f>
        <v>-1215000</v>
      </c>
      <c r="E174" s="23">
        <f>D174</f>
        <v>-1215000</v>
      </c>
      <c r="J174" t="s">
        <v>0</v>
      </c>
      <c r="K174" t="s">
        <v>0</v>
      </c>
    </row>
    <row r="175" spans="3:11" ht="12.75">
      <c r="C175">
        <v>1</v>
      </c>
      <c r="D175" s="23">
        <f>N155</f>
        <v>223408.7715216276</v>
      </c>
      <c r="E175" s="23">
        <f>D175/(1+$G$192)^C175</f>
        <v>209724.2633387727</v>
      </c>
      <c r="F175" s="23">
        <f>SUM($E$174:E175)</f>
        <v>-1005275.7366612273</v>
      </c>
      <c r="K175" s="23" t="s">
        <v>0</v>
      </c>
    </row>
    <row r="176" spans="3:6" ht="12.75">
      <c r="C176">
        <v>2</v>
      </c>
      <c r="D176" s="23">
        <f aca="true" t="shared" si="8" ref="D176:D189">N156</f>
        <v>171966.00236678787</v>
      </c>
      <c r="E176" s="23">
        <f aca="true" t="shared" si="9" ref="E176:E189">D176/(1+$G$192)^C176</f>
        <v>151544.2664139882</v>
      </c>
      <c r="F176" s="23">
        <f>SUM($E$174:E176)</f>
        <v>-853731.4702472391</v>
      </c>
    </row>
    <row r="177" spans="3:6" ht="12.75">
      <c r="C177">
        <v>3</v>
      </c>
      <c r="D177" s="23">
        <f t="shared" si="8"/>
        <v>134428.38398801262</v>
      </c>
      <c r="E177" s="23">
        <f t="shared" si="9"/>
        <v>111208.08166118231</v>
      </c>
      <c r="F177" s="23">
        <f>SUM($E$174:E177)</f>
        <v>-742523.3885860568</v>
      </c>
    </row>
    <row r="178" spans="3:6" ht="12.75">
      <c r="C178">
        <v>4</v>
      </c>
      <c r="D178" s="23">
        <f t="shared" si="8"/>
        <v>118536.04245514754</v>
      </c>
      <c r="E178" s="23">
        <f t="shared" si="9"/>
        <v>92054.33646701851</v>
      </c>
      <c r="F178" s="23">
        <f>SUM($E$174:E178)</f>
        <v>-650469.0521190383</v>
      </c>
    </row>
    <row r="179" spans="3:6" ht="12.75">
      <c r="C179">
        <v>5</v>
      </c>
      <c r="D179" s="23">
        <f t="shared" si="8"/>
        <v>101628.17143432464</v>
      </c>
      <c r="E179" s="23">
        <f t="shared" si="9"/>
        <v>74089.45449133225</v>
      </c>
      <c r="F179" s="23">
        <f>SUM($E$174:E179)</f>
        <v>-576379.597627706</v>
      </c>
    </row>
    <row r="180" spans="3:6" ht="12.75">
      <c r="C180">
        <v>6</v>
      </c>
      <c r="D180" s="23">
        <f t="shared" si="8"/>
        <v>207147.75</v>
      </c>
      <c r="E180" s="23">
        <f t="shared" si="9"/>
        <v>141765.6335871318</v>
      </c>
      <c r="F180" s="23">
        <f>SUM($E$174:E180)</f>
        <v>-434613.9640405742</v>
      </c>
    </row>
    <row r="181" spans="3:6" ht="12.75">
      <c r="C181">
        <v>7</v>
      </c>
      <c r="D181" s="23">
        <f t="shared" si="8"/>
        <v>200010</v>
      </c>
      <c r="E181" s="23">
        <f t="shared" si="9"/>
        <v>128496.3849831738</v>
      </c>
      <c r="F181" s="23">
        <f>SUM($E$174:E181)</f>
        <v>-306117.5790574004</v>
      </c>
    </row>
    <row r="182" spans="3:6" ht="12.75">
      <c r="C182">
        <v>8</v>
      </c>
      <c r="D182" s="23">
        <f t="shared" si="8"/>
        <v>192395</v>
      </c>
      <c r="E182" s="23">
        <f t="shared" si="9"/>
        <v>116032.97792790586</v>
      </c>
      <c r="F182" s="23">
        <f>SUM($E$174:E182)</f>
        <v>-190084.60112949455</v>
      </c>
    </row>
    <row r="183" spans="3:6" ht="12.75">
      <c r="C183">
        <v>9</v>
      </c>
      <c r="D183" s="23">
        <f t="shared" si="8"/>
        <v>185097.5</v>
      </c>
      <c r="E183" s="23">
        <f t="shared" si="9"/>
        <v>104794.06018895762</v>
      </c>
      <c r="F183" s="23">
        <f>SUM($E$174:E183)</f>
        <v>-85290.54094053693</v>
      </c>
    </row>
    <row r="184" spans="3:7" ht="12.75">
      <c r="C184">
        <v>10</v>
      </c>
      <c r="D184" s="23">
        <f t="shared" si="8"/>
        <v>184407.5</v>
      </c>
      <c r="E184" s="23">
        <f t="shared" si="9"/>
        <v>98008.3666266473</v>
      </c>
      <c r="F184" s="23">
        <f>SUM($E$174:E184)</f>
        <v>12717.825686110373</v>
      </c>
      <c r="G184" t="s">
        <v>263</v>
      </c>
    </row>
    <row r="185" spans="3:6" ht="12.75">
      <c r="C185">
        <v>11</v>
      </c>
      <c r="D185" s="23">
        <f t="shared" si="8"/>
        <v>179050</v>
      </c>
      <c r="E185" s="23">
        <f t="shared" si="9"/>
        <v>89332.06098782453</v>
      </c>
      <c r="F185" s="23">
        <f>SUM($E$174:E185)</f>
        <v>102049.8866739349</v>
      </c>
    </row>
    <row r="186" spans="3:6" ht="12.75">
      <c r="C186">
        <v>12</v>
      </c>
      <c r="D186" s="23">
        <f t="shared" si="8"/>
        <v>173283.75</v>
      </c>
      <c r="E186" s="23">
        <f t="shared" si="9"/>
        <v>81159.49263475789</v>
      </c>
      <c r="F186" s="23">
        <f>SUM($E$174:E186)</f>
        <v>183209.3793086928</v>
      </c>
    </row>
    <row r="187" spans="3:6" ht="12.75">
      <c r="C187">
        <v>13</v>
      </c>
      <c r="D187" s="23">
        <f t="shared" si="8"/>
        <v>167962.5</v>
      </c>
      <c r="E187" s="23">
        <f t="shared" si="9"/>
        <v>73848.60107651366</v>
      </c>
      <c r="F187" s="23">
        <f>SUM($E$174:E187)</f>
        <v>257057.98038520647</v>
      </c>
    </row>
    <row r="188" spans="3:6" ht="12.75">
      <c r="C188">
        <v>14</v>
      </c>
      <c r="D188" s="23">
        <f t="shared" si="8"/>
        <v>166665</v>
      </c>
      <c r="E188" s="23">
        <f t="shared" si="9"/>
        <v>68789.60353656599</v>
      </c>
      <c r="F188" s="23">
        <f>SUM($E$174:E188)</f>
        <v>325847.5839217724</v>
      </c>
    </row>
    <row r="189" spans="3:6" ht="12.75">
      <c r="C189">
        <v>15</v>
      </c>
      <c r="D189" s="23">
        <f t="shared" si="8"/>
        <v>165222.5</v>
      </c>
      <c r="E189" s="23">
        <f t="shared" si="9"/>
        <v>64017.10731204626</v>
      </c>
      <c r="F189" s="23">
        <f>SUM($E$174:E189)</f>
        <v>389864.6912338187</v>
      </c>
    </row>
    <row r="190" spans="3:5" ht="12.75">
      <c r="C190" t="s">
        <v>159</v>
      </c>
      <c r="E190" s="23">
        <f>SUM(E174:E189)</f>
        <v>389864.6912338187</v>
      </c>
    </row>
    <row r="192" spans="3:7" ht="12.75">
      <c r="C192" t="s">
        <v>395</v>
      </c>
      <c r="F192" t="s">
        <v>0</v>
      </c>
      <c r="G192" s="21">
        <f>B72*(1-'Lead Worksheet'!E50)</f>
        <v>0.06525</v>
      </c>
    </row>
    <row r="193" spans="3:7" ht="12.75">
      <c r="C193" t="s">
        <v>164</v>
      </c>
      <c r="G193" s="21">
        <v>0.025</v>
      </c>
    </row>
    <row r="194" spans="3:8" ht="12.75">
      <c r="C194" t="s">
        <v>0</v>
      </c>
      <c r="H194" t="s">
        <v>0</v>
      </c>
    </row>
    <row r="195" spans="3:8" ht="12.75">
      <c r="C195" s="11" t="s">
        <v>159</v>
      </c>
      <c r="F195" s="40">
        <f>NPV(G192,D175:D189)+D174</f>
        <v>389864.6912338191</v>
      </c>
      <c r="G195" t="s">
        <v>0</v>
      </c>
      <c r="H195" s="23" t="s">
        <v>0</v>
      </c>
    </row>
    <row r="196" spans="3:6" ht="12.75">
      <c r="C196" s="11" t="s">
        <v>163</v>
      </c>
      <c r="F196" s="39">
        <f>MIRR(D174:D189,,G193)</f>
        <v>0.06375159945720554</v>
      </c>
    </row>
    <row r="197" spans="3:6" ht="12.75">
      <c r="C197" s="11" t="s">
        <v>168</v>
      </c>
      <c r="F197" s="42">
        <f>10+((F183*-1)/E184)</f>
        <v>10.87023734683226</v>
      </c>
    </row>
    <row r="200" spans="2:9" ht="12.75">
      <c r="B200" s="12" t="s">
        <v>398</v>
      </c>
      <c r="C200" s="13"/>
      <c r="D200" s="13"/>
      <c r="E200" s="13"/>
      <c r="F200" s="13"/>
      <c r="G200" s="13"/>
      <c r="H200" s="13"/>
      <c r="I200" s="13"/>
    </row>
    <row r="202" spans="3:7" ht="12.75">
      <c r="C202" t="s">
        <v>193</v>
      </c>
      <c r="G202" t="str">
        <f>IF(F147&gt;0,"Yes","No")</f>
        <v>Yes</v>
      </c>
    </row>
    <row r="203" spans="3:7" ht="12.75">
      <c r="C203" t="s">
        <v>196</v>
      </c>
      <c r="G203" t="str">
        <f>IF(F148&gt;G144,"Yes","No")</f>
        <v>No</v>
      </c>
    </row>
    <row r="204" spans="3:7" ht="12.75">
      <c r="C204" t="s">
        <v>197</v>
      </c>
      <c r="G204" t="str">
        <f>IF(F149&gt;0,"Yes","No")</f>
        <v>Yes</v>
      </c>
    </row>
    <row r="206" ht="12.75">
      <c r="C206" s="6" t="s">
        <v>194</v>
      </c>
    </row>
    <row r="207" ht="12.75">
      <c r="C207" s="6" t="s">
        <v>195</v>
      </c>
    </row>
    <row r="210" spans="2:9" ht="12.75">
      <c r="B210" s="12" t="s">
        <v>399</v>
      </c>
      <c r="C210" s="13"/>
      <c r="D210" s="13"/>
      <c r="E210" s="13"/>
      <c r="F210" s="13"/>
      <c r="G210" s="13"/>
      <c r="H210" s="13"/>
      <c r="I210" s="13"/>
    </row>
    <row r="212" spans="3:6" ht="12.75">
      <c r="C212" t="s">
        <v>217</v>
      </c>
      <c r="F212" s="26">
        <f>G144-'Lead Worksheet'!$E$51</f>
        <v>0.022499999999999992</v>
      </c>
    </row>
    <row r="214" ht="12.75">
      <c r="B214" t="s">
        <v>242</v>
      </c>
    </row>
    <row r="215" ht="12.75">
      <c r="B215" t="s">
        <v>243</v>
      </c>
    </row>
    <row r="216" spans="3:9" ht="12.75">
      <c r="C216" t="s">
        <v>219</v>
      </c>
      <c r="H216" s="30">
        <v>1</v>
      </c>
      <c r="I216" t="s">
        <v>244</v>
      </c>
    </row>
    <row r="217" spans="3:9" ht="12.75">
      <c r="C217" t="s">
        <v>220</v>
      </c>
      <c r="H217">
        <v>1</v>
      </c>
      <c r="I217" t="s">
        <v>245</v>
      </c>
    </row>
    <row r="218" spans="3:9" ht="12.75">
      <c r="C218" t="s">
        <v>246</v>
      </c>
      <c r="H218" s="34">
        <f>2-H216</f>
        <v>1</v>
      </c>
      <c r="I218" t="s">
        <v>248</v>
      </c>
    </row>
    <row r="219" spans="3:8" ht="12.75">
      <c r="C219" t="s">
        <v>247</v>
      </c>
      <c r="H219" s="34">
        <f>H217^H218</f>
        <v>1</v>
      </c>
    </row>
    <row r="221" spans="3:8" ht="12.75">
      <c r="C221" t="s">
        <v>249</v>
      </c>
      <c r="H221" s="3">
        <v>0.65</v>
      </c>
    </row>
    <row r="222" spans="3:9" ht="12.75">
      <c r="C222" t="s">
        <v>250</v>
      </c>
      <c r="H222" s="3">
        <v>6</v>
      </c>
      <c r="I222" t="s">
        <v>0</v>
      </c>
    </row>
    <row r="223" spans="3:9" ht="12.75">
      <c r="C223" t="s">
        <v>251</v>
      </c>
      <c r="H223">
        <f>2-H221</f>
        <v>1.35</v>
      </c>
      <c r="I223" t="s">
        <v>0</v>
      </c>
    </row>
    <row r="224" spans="3:8" ht="12.75">
      <c r="C224" s="11" t="s">
        <v>252</v>
      </c>
      <c r="D224" s="11"/>
      <c r="E224" s="11"/>
      <c r="F224" s="11"/>
      <c r="G224" s="11"/>
      <c r="H224" s="44">
        <f>H222^H223</f>
        <v>11.233218021148659</v>
      </c>
    </row>
    <row r="226" ht="12.75">
      <c r="B226" t="s">
        <v>221</v>
      </c>
    </row>
    <row r="227" spans="2:8" ht="12.75">
      <c r="B227" s="22" t="s">
        <v>222</v>
      </c>
      <c r="C227" t="s">
        <v>225</v>
      </c>
      <c r="H227" s="21">
        <v>0.1</v>
      </c>
    </row>
    <row r="228" spans="2:8" ht="12.75">
      <c r="B228" s="22" t="s">
        <v>223</v>
      </c>
      <c r="C228" t="s">
        <v>226</v>
      </c>
      <c r="H228" s="21">
        <v>0.7</v>
      </c>
    </row>
    <row r="229" spans="2:8" ht="12.75">
      <c r="B229" s="22" t="s">
        <v>224</v>
      </c>
      <c r="C229" t="s">
        <v>227</v>
      </c>
      <c r="H229" s="21">
        <v>0.2</v>
      </c>
    </row>
    <row r="230" spans="4:8" ht="12.75">
      <c r="D230" t="s">
        <v>228</v>
      </c>
      <c r="F230" s="26">
        <v>1</v>
      </c>
      <c r="H230" s="26">
        <f>SUM(H227:H229)</f>
        <v>1</v>
      </c>
    </row>
    <row r="232" ht="12.75">
      <c r="B232" s="31" t="s">
        <v>229</v>
      </c>
    </row>
    <row r="233" ht="12.75">
      <c r="B233" s="31"/>
    </row>
    <row r="234" spans="6:8" ht="12.75">
      <c r="F234" s="7" t="s">
        <v>0</v>
      </c>
      <c r="G234" s="7" t="s">
        <v>235</v>
      </c>
      <c r="H234" s="7" t="s">
        <v>237</v>
      </c>
    </row>
    <row r="235" spans="3:8" ht="12.75">
      <c r="C235" s="106" t="s">
        <v>354</v>
      </c>
      <c r="D235" s="105"/>
      <c r="E235" s="105"/>
      <c r="F235" s="7" t="s">
        <v>233</v>
      </c>
      <c r="G235" s="7" t="s">
        <v>234</v>
      </c>
      <c r="H235" s="7" t="s">
        <v>238</v>
      </c>
    </row>
    <row r="236" spans="2:8" ht="12.75">
      <c r="B236" s="46" t="s">
        <v>25</v>
      </c>
      <c r="C236" s="46" t="s">
        <v>232</v>
      </c>
      <c r="D236" s="46" t="s">
        <v>230</v>
      </c>
      <c r="E236" s="46" t="s">
        <v>231</v>
      </c>
      <c r="F236" s="46" t="s">
        <v>162</v>
      </c>
      <c r="G236" s="46" t="s">
        <v>236</v>
      </c>
      <c r="H236" s="46" t="s">
        <v>239</v>
      </c>
    </row>
    <row r="237" spans="2:8" ht="12.75">
      <c r="B237">
        <v>1</v>
      </c>
      <c r="C237" s="23">
        <v>321100</v>
      </c>
      <c r="D237" s="23">
        <f>M107</f>
        <v>339580</v>
      </c>
      <c r="E237" s="23">
        <v>361200</v>
      </c>
      <c r="F237" s="23">
        <f>(C237*$H$227)+(D237*$H$228)+(E237*$H$229)</f>
        <v>342056</v>
      </c>
      <c r="G237" s="23">
        <f>STDEV(C237,F237)+STDEV(D237,F237)+STDEV(E237,F237)</f>
        <v>30105.778315798445</v>
      </c>
      <c r="H237" s="33">
        <f>G237/F237</f>
        <v>0.08801417988808395</v>
      </c>
    </row>
    <row r="238" spans="2:8" ht="12.75">
      <c r="B238">
        <v>2</v>
      </c>
      <c r="C238" s="23">
        <v>271600</v>
      </c>
      <c r="D238" s="23">
        <f aca="true" t="shared" si="10" ref="D238:D251">M108</f>
        <v>290205</v>
      </c>
      <c r="E238" s="23">
        <v>311950</v>
      </c>
      <c r="F238" s="23">
        <f aca="true" t="shared" si="11" ref="F238:F251">(C238*$H$227)+(D238*$H$228)+(E238*$H$229)</f>
        <v>292693.5</v>
      </c>
      <c r="G238" s="23">
        <f aca="true" t="shared" si="12" ref="G238:G252">STDEV(C238,F238)+STDEV(D238,F238)+STDEV(E238,F238)</f>
        <v>30291.393845859915</v>
      </c>
      <c r="H238" s="33">
        <f aca="true" t="shared" si="13" ref="H238:H252">G238/F238</f>
        <v>0.10349185699668736</v>
      </c>
    </row>
    <row r="239" spans="2:8" ht="12.75">
      <c r="B239">
        <v>3</v>
      </c>
      <c r="C239" s="23">
        <v>237200</v>
      </c>
      <c r="D239" s="23">
        <f t="shared" si="10"/>
        <v>254921.25</v>
      </c>
      <c r="E239" s="23">
        <v>276705</v>
      </c>
      <c r="F239" s="23">
        <f t="shared" si="11"/>
        <v>257505.875</v>
      </c>
      <c r="G239" s="23">
        <f t="shared" si="12"/>
        <v>29761.85925509884</v>
      </c>
      <c r="H239" s="33">
        <f t="shared" si="13"/>
        <v>0.11557739898205756</v>
      </c>
    </row>
    <row r="240" spans="2:8" ht="12.75">
      <c r="B240">
        <v>4</v>
      </c>
      <c r="C240" s="23">
        <v>224850</v>
      </c>
      <c r="D240" s="23">
        <f t="shared" si="10"/>
        <v>241485.625</v>
      </c>
      <c r="E240" s="23">
        <v>261890</v>
      </c>
      <c r="F240" s="23">
        <f t="shared" si="11"/>
        <v>243902.9375</v>
      </c>
      <c r="G240" s="23">
        <f t="shared" si="12"/>
        <v>27900.533236146726</v>
      </c>
      <c r="H240" s="33">
        <f t="shared" si="13"/>
        <v>0.1143919524796487</v>
      </c>
    </row>
    <row r="241" spans="2:8" ht="12.75">
      <c r="B241">
        <v>5</v>
      </c>
      <c r="C241" s="23">
        <v>211800</v>
      </c>
      <c r="D241" s="23">
        <f t="shared" si="10"/>
        <v>227255.575</v>
      </c>
      <c r="E241" s="23">
        <v>248605</v>
      </c>
      <c r="F241" s="23">
        <f t="shared" si="11"/>
        <v>229979.9025</v>
      </c>
      <c r="G241" s="23">
        <f t="shared" si="12"/>
        <v>27951.455530993408</v>
      </c>
      <c r="H241" s="33">
        <f t="shared" si="13"/>
        <v>0.12153868762942627</v>
      </c>
    </row>
    <row r="242" spans="2:8" ht="12.75">
      <c r="B242">
        <v>6</v>
      </c>
      <c r="C242" s="23">
        <v>190450</v>
      </c>
      <c r="D242" s="23">
        <f t="shared" si="10"/>
        <v>207147.75</v>
      </c>
      <c r="E242" s="23">
        <v>227690</v>
      </c>
      <c r="F242" s="23">
        <f t="shared" si="11"/>
        <v>209586.425</v>
      </c>
      <c r="G242" s="23">
        <f t="shared" si="12"/>
        <v>28057.06016099511</v>
      </c>
      <c r="H242" s="33">
        <f t="shared" si="13"/>
        <v>0.1338686900212889</v>
      </c>
    </row>
    <row r="243" spans="2:8" ht="12.75">
      <c r="B243">
        <v>7</v>
      </c>
      <c r="C243" s="23">
        <v>184100</v>
      </c>
      <c r="D243" s="23">
        <f t="shared" si="10"/>
        <v>200010</v>
      </c>
      <c r="E243" s="23">
        <v>220280</v>
      </c>
      <c r="F243" s="23">
        <f t="shared" si="11"/>
        <v>202473</v>
      </c>
      <c r="G243" s="23">
        <f t="shared" si="12"/>
        <v>27324.727345391755</v>
      </c>
      <c r="H243" s="33">
        <f t="shared" si="13"/>
        <v>0.13495491915164864</v>
      </c>
    </row>
    <row r="244" spans="2:8" ht="12.75">
      <c r="B244">
        <v>8</v>
      </c>
      <c r="C244" s="23">
        <v>176350</v>
      </c>
      <c r="D244" s="23">
        <f t="shared" si="10"/>
        <v>192395</v>
      </c>
      <c r="E244" s="23">
        <v>211650</v>
      </c>
      <c r="F244" s="23">
        <f t="shared" si="11"/>
        <v>194641.5</v>
      </c>
      <c r="G244" s="23">
        <f t="shared" si="12"/>
        <v>26549.384759820707</v>
      </c>
      <c r="H244" s="33">
        <f t="shared" si="13"/>
        <v>0.13640145991384522</v>
      </c>
    </row>
    <row r="245" spans="2:8" ht="12.75">
      <c r="B245">
        <v>9</v>
      </c>
      <c r="C245" s="23">
        <v>169150</v>
      </c>
      <c r="D245" s="23">
        <f t="shared" si="10"/>
        <v>185097.5</v>
      </c>
      <c r="E245" s="23">
        <v>204880</v>
      </c>
      <c r="F245" s="23">
        <f t="shared" si="11"/>
        <v>187459.25</v>
      </c>
      <c r="G245" s="23">
        <f t="shared" si="12"/>
        <v>26934.93473226267</v>
      </c>
      <c r="H245" s="33">
        <f t="shared" si="13"/>
        <v>0.14368421260760764</v>
      </c>
    </row>
    <row r="246" spans="2:8" ht="12.75">
      <c r="B246">
        <v>10</v>
      </c>
      <c r="C246" s="23">
        <v>168340</v>
      </c>
      <c r="D246" s="23">
        <f t="shared" si="10"/>
        <v>184407.5</v>
      </c>
      <c r="E246" s="23">
        <v>203090</v>
      </c>
      <c r="F246" s="23">
        <f t="shared" si="11"/>
        <v>186537.25</v>
      </c>
      <c r="G246" s="23">
        <f t="shared" si="12"/>
        <v>26077.921313464576</v>
      </c>
      <c r="H246" s="33">
        <f t="shared" si="13"/>
        <v>0.13980007378400067</v>
      </c>
    </row>
    <row r="247" spans="2:8" ht="12.75">
      <c r="B247">
        <v>11</v>
      </c>
      <c r="C247" s="23">
        <v>163100</v>
      </c>
      <c r="D247" s="23">
        <f t="shared" si="10"/>
        <v>179050</v>
      </c>
      <c r="E247" s="23">
        <v>197450</v>
      </c>
      <c r="F247" s="23">
        <f t="shared" si="11"/>
        <v>181135</v>
      </c>
      <c r="G247" s="23">
        <f t="shared" si="12"/>
        <v>25763.43557253186</v>
      </c>
      <c r="H247" s="33">
        <f t="shared" si="13"/>
        <v>0.1422333374142593</v>
      </c>
    </row>
    <row r="248" spans="2:8" ht="12.75">
      <c r="B248">
        <v>12</v>
      </c>
      <c r="C248" s="23">
        <v>158350</v>
      </c>
      <c r="D248" s="23">
        <f t="shared" si="10"/>
        <v>173283.75</v>
      </c>
      <c r="E248" s="23">
        <v>192770</v>
      </c>
      <c r="F248" s="23">
        <f t="shared" si="11"/>
        <v>175687.625</v>
      </c>
      <c r="G248" s="23">
        <f t="shared" si="12"/>
        <v>26038.41172206578</v>
      </c>
      <c r="H248" s="33">
        <f t="shared" si="13"/>
        <v>0.14820857030804405</v>
      </c>
    </row>
    <row r="249" spans="2:8" ht="12.75">
      <c r="B249">
        <v>13</v>
      </c>
      <c r="C249" s="23">
        <v>153300</v>
      </c>
      <c r="D249" s="23">
        <f t="shared" si="10"/>
        <v>167962.5</v>
      </c>
      <c r="E249" s="23">
        <v>185200</v>
      </c>
      <c r="F249" s="23">
        <f t="shared" si="11"/>
        <v>169943.75</v>
      </c>
      <c r="G249" s="23">
        <f t="shared" si="12"/>
        <v>23957.661630076713</v>
      </c>
      <c r="H249" s="33">
        <f t="shared" si="13"/>
        <v>0.1409740671844461</v>
      </c>
    </row>
    <row r="250" spans="2:8" ht="12.75">
      <c r="B250">
        <v>14</v>
      </c>
      <c r="C250" s="23">
        <v>152820</v>
      </c>
      <c r="D250" s="23">
        <f t="shared" si="10"/>
        <v>166665</v>
      </c>
      <c r="E250" s="23">
        <v>183990</v>
      </c>
      <c r="F250" s="23">
        <f t="shared" si="11"/>
        <v>168745.5</v>
      </c>
      <c r="G250" s="23">
        <f t="shared" si="12"/>
        <v>23511.6540278433</v>
      </c>
      <c r="H250" s="33">
        <f t="shared" si="13"/>
        <v>0.13933203568594896</v>
      </c>
    </row>
    <row r="251" spans="2:8" ht="12.75">
      <c r="B251">
        <v>15</v>
      </c>
      <c r="C251" s="23">
        <v>152650</v>
      </c>
      <c r="D251" s="23">
        <f t="shared" si="10"/>
        <v>165222.5</v>
      </c>
      <c r="E251" s="23">
        <v>183690</v>
      </c>
      <c r="F251" s="23">
        <f t="shared" si="11"/>
        <v>167658.75</v>
      </c>
      <c r="G251" s="23">
        <f t="shared" si="12"/>
        <v>23671.28338369616</v>
      </c>
      <c r="H251" s="33">
        <f t="shared" si="13"/>
        <v>0.14118728300011876</v>
      </c>
    </row>
    <row r="252" spans="2:8" ht="12.75">
      <c r="B252" t="s">
        <v>240</v>
      </c>
      <c r="C252" s="23">
        <f>SUM(C237:C251)</f>
        <v>2935160</v>
      </c>
      <c r="D252" s="23">
        <f>SUM(D237:D251)</f>
        <v>3174688.95</v>
      </c>
      <c r="E252" s="23">
        <f>SUM(E237:E251)</f>
        <v>3471040</v>
      </c>
      <c r="F252" s="23">
        <f>SUM(F237:F251)</f>
        <v>3210006.265</v>
      </c>
      <c r="G252" s="23">
        <f t="shared" si="12"/>
        <v>403897.49483213807</v>
      </c>
      <c r="H252" s="33">
        <f t="shared" si="13"/>
        <v>0.12582451917181478</v>
      </c>
    </row>
    <row r="253" ht="12.75">
      <c r="D253" s="23" t="s">
        <v>0</v>
      </c>
    </row>
    <row r="254" spans="4:8" ht="12.75">
      <c r="D254" s="11" t="s">
        <v>241</v>
      </c>
      <c r="E254" s="11"/>
      <c r="F254" s="11"/>
      <c r="G254" s="11"/>
      <c r="H254" s="25">
        <f>G252</f>
        <v>403897.49483213807</v>
      </c>
    </row>
    <row r="255" spans="4:8" ht="12.75">
      <c r="D255" s="11" t="s">
        <v>299</v>
      </c>
      <c r="E255" s="11"/>
      <c r="F255" s="11"/>
      <c r="G255" s="11"/>
      <c r="H255" s="45">
        <f>H252</f>
        <v>0.12582451917181478</v>
      </c>
    </row>
    <row r="256" spans="4:8" ht="12.75">
      <c r="D256" s="11"/>
      <c r="E256" s="11"/>
      <c r="F256" s="11"/>
      <c r="G256" s="11"/>
      <c r="H256" s="45"/>
    </row>
    <row r="258" spans="2:9" ht="12.75">
      <c r="B258" s="12" t="s">
        <v>261</v>
      </c>
      <c r="C258" s="13"/>
      <c r="D258" s="13"/>
      <c r="E258" s="13"/>
      <c r="F258" s="13"/>
      <c r="G258" s="13"/>
      <c r="H258" s="13"/>
      <c r="I258" s="13"/>
    </row>
    <row r="260" spans="5:7" ht="12.75">
      <c r="E260" s="7" t="s">
        <v>233</v>
      </c>
      <c r="F260" s="7" t="s">
        <v>355</v>
      </c>
      <c r="G260" s="7" t="s">
        <v>166</v>
      </c>
    </row>
    <row r="261" spans="4:7" ht="12.75">
      <c r="D261" s="46" t="s">
        <v>25</v>
      </c>
      <c r="E261" s="46" t="s">
        <v>356</v>
      </c>
      <c r="F261" s="46" t="s">
        <v>162</v>
      </c>
      <c r="G261" s="46" t="s">
        <v>165</v>
      </c>
    </row>
    <row r="262" spans="4:6" ht="12.75">
      <c r="D262">
        <v>0</v>
      </c>
      <c r="E262" s="23">
        <f>G86*-1</f>
        <v>-1215000</v>
      </c>
      <c r="F262" s="23">
        <f>E262</f>
        <v>-1215000</v>
      </c>
    </row>
    <row r="263" spans="4:7" ht="12.75">
      <c r="D263">
        <v>1</v>
      </c>
      <c r="E263" s="23">
        <f>F237</f>
        <v>342056</v>
      </c>
      <c r="F263" s="23">
        <f>E263/(1+$G$144)^D263</f>
        <v>306090.38031319913</v>
      </c>
      <c r="G263" s="23">
        <f>SUM($F$262:F263)</f>
        <v>-908909.6196868009</v>
      </c>
    </row>
    <row r="264" spans="4:7" ht="12.75">
      <c r="D264">
        <v>2</v>
      </c>
      <c r="E264" s="23">
        <f aca="true" t="shared" si="14" ref="E264:E277">F238</f>
        <v>292693.5</v>
      </c>
      <c r="F264" s="23">
        <f aca="true" t="shared" si="15" ref="F264:F277">E264/(1+$G$144)^D264</f>
        <v>234378.6315931715</v>
      </c>
      <c r="G264" s="23">
        <f>SUM($F$262:F264)</f>
        <v>-674530.9880936294</v>
      </c>
    </row>
    <row r="265" spans="4:7" ht="12.75">
      <c r="D265">
        <v>3</v>
      </c>
      <c r="E265" s="23">
        <f t="shared" si="14"/>
        <v>257505.875</v>
      </c>
      <c r="F265" s="23">
        <f t="shared" si="15"/>
        <v>184520.46760584775</v>
      </c>
      <c r="G265" s="23">
        <f>SUM($F$262:F265)</f>
        <v>-490010.5204877816</v>
      </c>
    </row>
    <row r="266" spans="4:7" ht="12.75">
      <c r="D266">
        <v>4</v>
      </c>
      <c r="E266" s="23">
        <f t="shared" si="14"/>
        <v>243902.9375</v>
      </c>
      <c r="F266" s="23">
        <f t="shared" si="15"/>
        <v>156396.45459079192</v>
      </c>
      <c r="G266" s="23">
        <f>SUM($F$262:F266)</f>
        <v>-333614.06589698966</v>
      </c>
    </row>
    <row r="267" spans="4:7" ht="12.75">
      <c r="D267">
        <v>5</v>
      </c>
      <c r="E267" s="23">
        <f t="shared" si="14"/>
        <v>229979.9025</v>
      </c>
      <c r="F267" s="23">
        <f t="shared" si="15"/>
        <v>131963.01410404194</v>
      </c>
      <c r="G267" s="23">
        <f>SUM($F$262:F267)</f>
        <v>-201651.05179294772</v>
      </c>
    </row>
    <row r="268" spans="4:7" ht="12.75">
      <c r="D268">
        <v>6</v>
      </c>
      <c r="E268" s="23">
        <f t="shared" si="14"/>
        <v>209586.425</v>
      </c>
      <c r="F268" s="23">
        <f t="shared" si="15"/>
        <v>107616.27587792027</v>
      </c>
      <c r="G268" s="23">
        <f>SUM($F$262:F268)</f>
        <v>-94034.77591502745</v>
      </c>
    </row>
    <row r="269" spans="4:7" ht="12.75">
      <c r="D269">
        <v>7</v>
      </c>
      <c r="E269" s="23">
        <f t="shared" si="14"/>
        <v>202473</v>
      </c>
      <c r="F269" s="23">
        <f t="shared" si="15"/>
        <v>93032.43648797841</v>
      </c>
      <c r="G269" s="23">
        <f>SUM($F$262:F269)</f>
        <v>-1002.3394270490389</v>
      </c>
    </row>
    <row r="270" spans="4:8" ht="12.75">
      <c r="D270">
        <v>8</v>
      </c>
      <c r="E270" s="23">
        <f t="shared" si="14"/>
        <v>194641.5</v>
      </c>
      <c r="F270" s="23">
        <f t="shared" si="15"/>
        <v>80030.43700957503</v>
      </c>
      <c r="G270" s="23">
        <f>SUM($F$262:F270)</f>
        <v>79028.097582526</v>
      </c>
      <c r="H270" t="s">
        <v>263</v>
      </c>
    </row>
    <row r="271" spans="4:7" ht="12.75">
      <c r="D271">
        <v>9</v>
      </c>
      <c r="E271" s="23">
        <f t="shared" si="14"/>
        <v>187459.25</v>
      </c>
      <c r="F271" s="23">
        <f t="shared" si="15"/>
        <v>68972.99567102226</v>
      </c>
      <c r="G271" s="23">
        <f>SUM($F$262:F271)</f>
        <v>148001.09325354826</v>
      </c>
    </row>
    <row r="272" spans="4:7" ht="12.75">
      <c r="D272">
        <v>10</v>
      </c>
      <c r="E272" s="23">
        <f t="shared" si="14"/>
        <v>186537.25</v>
      </c>
      <c r="F272" s="23">
        <f t="shared" si="15"/>
        <v>61417.2337653823</v>
      </c>
      <c r="G272" s="23">
        <f>SUM($F$262:F272)</f>
        <v>209418.32701893055</v>
      </c>
    </row>
    <row r="273" spans="4:7" ht="12.75">
      <c r="D273">
        <v>11</v>
      </c>
      <c r="E273" s="23">
        <f t="shared" si="14"/>
        <v>181135</v>
      </c>
      <c r="F273" s="23">
        <f t="shared" si="15"/>
        <v>53367.8277090617</v>
      </c>
      <c r="G273" s="23">
        <f>SUM($F$262:F273)</f>
        <v>262786.15472799225</v>
      </c>
    </row>
    <row r="274" spans="4:7" ht="12.75">
      <c r="D274">
        <v>12</v>
      </c>
      <c r="E274" s="23">
        <f t="shared" si="14"/>
        <v>175687.625</v>
      </c>
      <c r="F274" s="23">
        <f t="shared" si="15"/>
        <v>46320.23886476327</v>
      </c>
      <c r="G274" s="23">
        <f>SUM($F$262:F274)</f>
        <v>309106.39359275554</v>
      </c>
    </row>
    <row r="275" spans="4:7" ht="12.75">
      <c r="D275">
        <v>13</v>
      </c>
      <c r="E275" s="23">
        <f t="shared" si="14"/>
        <v>169943.75</v>
      </c>
      <c r="F275" s="23">
        <f t="shared" si="15"/>
        <v>40094.72912358789</v>
      </c>
      <c r="G275" s="23">
        <f>SUM($F$262:F275)</f>
        <v>349201.12271634344</v>
      </c>
    </row>
    <row r="276" spans="4:7" ht="12.75">
      <c r="D276">
        <v>14</v>
      </c>
      <c r="E276" s="23">
        <f t="shared" si="14"/>
        <v>168745.5</v>
      </c>
      <c r="F276" s="23">
        <f t="shared" si="15"/>
        <v>35625.97467996604</v>
      </c>
      <c r="G276" s="23">
        <f>SUM($F$262:F276)</f>
        <v>384827.0973963095</v>
      </c>
    </row>
    <row r="277" spans="4:7" ht="12.75">
      <c r="D277">
        <v>15</v>
      </c>
      <c r="E277" s="23">
        <f t="shared" si="14"/>
        <v>167658.75</v>
      </c>
      <c r="F277" s="23">
        <f t="shared" si="15"/>
        <v>31674.75372232352</v>
      </c>
      <c r="G277" s="23">
        <f>SUM($F$262:F277)</f>
        <v>416501.851118633</v>
      </c>
    </row>
    <row r="278" spans="4:6" ht="12.75">
      <c r="D278" t="s">
        <v>159</v>
      </c>
      <c r="F278" s="23">
        <f>SUM(F262:F277)</f>
        <v>416501.851118633</v>
      </c>
    </row>
    <row r="279" ht="12.75">
      <c r="D279" t="s">
        <v>0</v>
      </c>
    </row>
    <row r="280" spans="3:7" ht="12.75">
      <c r="C280" s="11" t="s">
        <v>159</v>
      </c>
      <c r="F280" s="43">
        <f>NPV(G144,E263:E277)+E262</f>
        <v>416501.8511186333</v>
      </c>
      <c r="G280" t="s">
        <v>0</v>
      </c>
    </row>
    <row r="281" spans="3:6" ht="12.75">
      <c r="C281" s="11" t="s">
        <v>163</v>
      </c>
      <c r="F281" s="39">
        <f>MIRR(E262:E277,,G145)</f>
        <v>0.09326656453093785</v>
      </c>
    </row>
    <row r="282" spans="3:6" ht="12.75">
      <c r="C282" s="11" t="s">
        <v>168</v>
      </c>
      <c r="F282" s="42">
        <f>8+((G269*-1)/F270)</f>
        <v>8.0125244777425</v>
      </c>
    </row>
  </sheetData>
  <mergeCells count="1">
    <mergeCell ref="C235:E235"/>
  </mergeCells>
  <conditionalFormatting sqref="H230">
    <cfRule type="cellIs" priority="1" dxfId="0" operator="notEqual" stopIfTrue="1">
      <formula>$F$230</formula>
    </cfRule>
  </conditionalFormatting>
  <printOptions/>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B1:L193"/>
  <sheetViews>
    <sheetView workbookViewId="0" topLeftCell="A1">
      <selection activeCell="F191" sqref="F191"/>
    </sheetView>
  </sheetViews>
  <sheetFormatPr defaultColWidth="9.140625" defaultRowHeight="12.75"/>
  <cols>
    <col min="4" max="4" width="10.7109375" style="0" customWidth="1"/>
    <col min="5" max="5" width="12.140625" style="0" customWidth="1"/>
    <col min="6" max="6" width="10.57421875" style="0" customWidth="1"/>
    <col min="7" max="7" width="11.28125" style="0" customWidth="1"/>
    <col min="8" max="8" width="12.8515625" style="0" customWidth="1"/>
    <col min="9" max="9" width="10.00390625" style="0" customWidth="1"/>
  </cols>
  <sheetData>
    <row r="1" ht="18">
      <c r="C1" s="1" t="s">
        <v>4</v>
      </c>
    </row>
    <row r="2" ht="18">
      <c r="C2" s="1" t="str">
        <f>'Lead Worksheet'!C2</f>
        <v>Medical Services USA</v>
      </c>
    </row>
    <row r="3" spans="2:5" ht="18">
      <c r="B3" s="8" t="str">
        <f>'Lead Worksheet'!B48</f>
        <v>E</v>
      </c>
      <c r="C3" s="1" t="str">
        <f>'Lead Worksheet'!C48</f>
        <v>Canadian Partnership</v>
      </c>
      <c r="D3" s="1"/>
      <c r="E3" s="1"/>
    </row>
    <row r="5" spans="2:9" ht="12.75">
      <c r="B5" s="12" t="s">
        <v>91</v>
      </c>
      <c r="C5" s="13"/>
      <c r="D5" s="13"/>
      <c r="E5" s="13"/>
      <c r="F5" s="13"/>
      <c r="G5" s="13"/>
      <c r="H5" s="13"/>
      <c r="I5" s="13"/>
    </row>
    <row r="7" spans="2:9" ht="12.75">
      <c r="B7" t="s">
        <v>92</v>
      </c>
      <c r="D7" s="3" t="s">
        <v>475</v>
      </c>
      <c r="E7" s="3"/>
      <c r="F7" s="3"/>
      <c r="G7" s="3"/>
      <c r="H7" s="3"/>
      <c r="I7" s="3"/>
    </row>
    <row r="8" spans="2:9" ht="12.75">
      <c r="B8" t="s">
        <v>258</v>
      </c>
      <c r="D8" s="3" t="s">
        <v>425</v>
      </c>
      <c r="E8" s="3"/>
      <c r="F8" s="3"/>
      <c r="G8" s="3"/>
      <c r="H8" s="3"/>
      <c r="I8" s="3"/>
    </row>
    <row r="9" spans="2:9" ht="12.75">
      <c r="B9" t="s">
        <v>93</v>
      </c>
      <c r="D9" s="3" t="s">
        <v>344</v>
      </c>
      <c r="E9" s="3"/>
      <c r="F9" s="3"/>
      <c r="G9" s="3"/>
      <c r="H9" s="3"/>
      <c r="I9" s="3"/>
    </row>
    <row r="10" spans="2:9" ht="12.75">
      <c r="B10" t="s">
        <v>94</v>
      </c>
      <c r="E10" s="3" t="s">
        <v>372</v>
      </c>
      <c r="F10" s="3"/>
      <c r="G10" s="3"/>
      <c r="H10" s="3"/>
      <c r="I10" s="3"/>
    </row>
    <row r="11" spans="2:9" ht="12.75">
      <c r="B11" t="s">
        <v>95</v>
      </c>
      <c r="E11" s="3" t="s">
        <v>352</v>
      </c>
      <c r="F11" s="3"/>
      <c r="G11" s="3"/>
      <c r="H11" s="3"/>
      <c r="I11" s="3"/>
    </row>
    <row r="12" spans="2:9" ht="12.75">
      <c r="B12" t="s">
        <v>96</v>
      </c>
      <c r="E12" s="3" t="s">
        <v>353</v>
      </c>
      <c r="F12" s="3"/>
      <c r="G12" s="3"/>
      <c r="H12" s="3"/>
      <c r="I12" s="3"/>
    </row>
    <row r="13" spans="2:5" ht="12.75">
      <c r="B13" t="s">
        <v>97</v>
      </c>
      <c r="E13" s="20">
        <v>33695</v>
      </c>
    </row>
    <row r="14" spans="2:6" ht="12.75">
      <c r="B14" t="s">
        <v>460</v>
      </c>
      <c r="D14" s="79">
        <v>8</v>
      </c>
      <c r="E14" s="3"/>
      <c r="F14" t="s">
        <v>0</v>
      </c>
    </row>
    <row r="15" spans="2:5" ht="12.75">
      <c r="B15" t="s">
        <v>461</v>
      </c>
      <c r="D15" s="79" t="s">
        <v>9</v>
      </c>
      <c r="E15" s="3"/>
    </row>
    <row r="16" spans="2:6" ht="12.75">
      <c r="B16" t="s">
        <v>462</v>
      </c>
      <c r="D16" s="79">
        <v>3</v>
      </c>
      <c r="E16" s="3"/>
      <c r="F16" t="s">
        <v>0</v>
      </c>
    </row>
    <row r="18" spans="2:9" ht="12.75">
      <c r="B18" s="12" t="s">
        <v>31</v>
      </c>
      <c r="C18" s="13"/>
      <c r="D18" s="13"/>
      <c r="E18" s="13"/>
      <c r="F18" s="13"/>
      <c r="G18" s="13"/>
      <c r="H18" s="13"/>
      <c r="I18" s="13"/>
    </row>
    <row r="20" spans="2:4" ht="12.75">
      <c r="B20" s="6" t="s">
        <v>32</v>
      </c>
      <c r="C20" s="6"/>
      <c r="D20" s="6"/>
    </row>
    <row r="21" spans="2:4" ht="12.75">
      <c r="B21" s="6" t="s">
        <v>33</v>
      </c>
      <c r="C21" s="6"/>
      <c r="D21" s="6"/>
    </row>
    <row r="22" spans="2:4" ht="12.75">
      <c r="B22" s="6" t="s">
        <v>34</v>
      </c>
      <c r="C22" s="6"/>
      <c r="D22" s="6"/>
    </row>
    <row r="24" spans="2:9" ht="12.75">
      <c r="B24" s="6" t="s">
        <v>35</v>
      </c>
      <c r="I24" s="14"/>
    </row>
    <row r="25" spans="2:9" ht="12.75">
      <c r="B25" s="16" t="s">
        <v>37</v>
      </c>
      <c r="C25" s="6" t="s">
        <v>36</v>
      </c>
      <c r="D25" s="6"/>
      <c r="E25" s="6"/>
      <c r="F25" s="6"/>
      <c r="G25" s="6"/>
      <c r="I25" s="15">
        <v>3</v>
      </c>
    </row>
    <row r="26" spans="2:9" ht="12.75">
      <c r="B26" s="16" t="s">
        <v>38</v>
      </c>
      <c r="C26" s="6" t="s">
        <v>39</v>
      </c>
      <c r="D26" s="6"/>
      <c r="E26" s="6"/>
      <c r="F26" s="6"/>
      <c r="G26" s="6"/>
      <c r="I26" s="15">
        <v>2</v>
      </c>
    </row>
    <row r="27" spans="2:9" ht="12.75">
      <c r="B27" s="16" t="s">
        <v>43</v>
      </c>
      <c r="C27" s="6" t="s">
        <v>40</v>
      </c>
      <c r="D27" s="6"/>
      <c r="E27" s="6"/>
      <c r="F27" s="6"/>
      <c r="G27" s="6"/>
      <c r="I27" s="15">
        <v>4</v>
      </c>
    </row>
    <row r="28" spans="2:9" ht="12.75">
      <c r="B28" s="16" t="s">
        <v>44</v>
      </c>
      <c r="C28" s="6" t="s">
        <v>41</v>
      </c>
      <c r="D28" s="6"/>
      <c r="E28" s="6"/>
      <c r="F28" s="6"/>
      <c r="G28" s="6"/>
      <c r="I28" s="15">
        <v>4</v>
      </c>
    </row>
    <row r="29" spans="2:9" ht="12.75">
      <c r="B29" s="16" t="s">
        <v>45</v>
      </c>
      <c r="C29" s="6" t="s">
        <v>42</v>
      </c>
      <c r="D29" s="6"/>
      <c r="E29" s="6"/>
      <c r="F29" s="6"/>
      <c r="G29" s="6"/>
      <c r="I29" s="15">
        <v>0</v>
      </c>
    </row>
    <row r="30" spans="2:9" ht="12.75">
      <c r="B30" s="16" t="s">
        <v>46</v>
      </c>
      <c r="C30" s="6" t="s">
        <v>42</v>
      </c>
      <c r="D30" s="6"/>
      <c r="E30" s="6"/>
      <c r="F30" s="6"/>
      <c r="G30" s="6"/>
      <c r="I30" s="15">
        <v>0</v>
      </c>
    </row>
    <row r="31" spans="2:9" ht="12.75">
      <c r="B31" s="16"/>
      <c r="C31" s="6"/>
      <c r="D31" s="6"/>
      <c r="E31" s="6"/>
      <c r="F31" s="6"/>
      <c r="G31" s="6"/>
      <c r="I31" s="14"/>
    </row>
    <row r="32" spans="2:9" ht="12.75">
      <c r="B32" s="17" t="s">
        <v>47</v>
      </c>
      <c r="C32" s="6"/>
      <c r="D32" s="6"/>
      <c r="E32" s="6"/>
      <c r="F32" s="6"/>
      <c r="G32" s="6"/>
      <c r="I32" s="14"/>
    </row>
    <row r="33" spans="2:9" ht="12.75">
      <c r="B33" s="16" t="s">
        <v>48</v>
      </c>
      <c r="C33" s="6" t="s">
        <v>51</v>
      </c>
      <c r="D33" s="6"/>
      <c r="E33" s="6"/>
      <c r="F33" s="6"/>
      <c r="G33" s="6"/>
      <c r="I33" s="15">
        <v>1</v>
      </c>
    </row>
    <row r="34" spans="2:9" ht="12.75">
      <c r="B34" s="16" t="s">
        <v>49</v>
      </c>
      <c r="C34" s="6" t="s">
        <v>52</v>
      </c>
      <c r="D34" s="6"/>
      <c r="E34" s="6"/>
      <c r="F34" s="6"/>
      <c r="G34" s="6"/>
      <c r="I34" s="15">
        <v>4</v>
      </c>
    </row>
    <row r="35" spans="2:9" ht="12.75">
      <c r="B35" s="16" t="s">
        <v>50</v>
      </c>
      <c r="C35" s="6" t="s">
        <v>53</v>
      </c>
      <c r="D35" s="6"/>
      <c r="E35" s="6"/>
      <c r="F35" s="6"/>
      <c r="G35" s="6"/>
      <c r="I35" s="15">
        <v>4</v>
      </c>
    </row>
    <row r="36" spans="2:9" ht="12.75">
      <c r="B36" s="16" t="s">
        <v>56</v>
      </c>
      <c r="C36" s="6" t="s">
        <v>54</v>
      </c>
      <c r="D36" s="6"/>
      <c r="E36" s="6"/>
      <c r="F36" s="6"/>
      <c r="G36" s="6"/>
      <c r="I36" s="15">
        <v>3</v>
      </c>
    </row>
    <row r="37" spans="2:9" ht="12.75">
      <c r="B37" s="16" t="s">
        <v>57</v>
      </c>
      <c r="C37" s="6" t="s">
        <v>55</v>
      </c>
      <c r="D37" s="6"/>
      <c r="E37" s="6"/>
      <c r="F37" s="6"/>
      <c r="G37" s="6"/>
      <c r="I37" s="15">
        <v>0</v>
      </c>
    </row>
    <row r="38" spans="2:9" ht="12.75">
      <c r="B38" s="16" t="s">
        <v>58</v>
      </c>
      <c r="C38" s="6" t="s">
        <v>55</v>
      </c>
      <c r="D38" s="6"/>
      <c r="E38" s="6"/>
      <c r="F38" s="6"/>
      <c r="G38" s="6"/>
      <c r="I38" s="15">
        <v>0</v>
      </c>
    </row>
    <row r="39" spans="2:9" ht="12.75">
      <c r="B39" s="16"/>
      <c r="C39" s="6"/>
      <c r="D39" s="6"/>
      <c r="E39" s="6"/>
      <c r="F39" s="6"/>
      <c r="G39" s="6"/>
      <c r="I39" s="18"/>
    </row>
    <row r="40" spans="2:9" ht="12.75">
      <c r="B40" s="17" t="s">
        <v>74</v>
      </c>
      <c r="C40" s="6"/>
      <c r="D40" s="6"/>
      <c r="E40" s="6"/>
      <c r="F40" s="6"/>
      <c r="G40" s="6"/>
      <c r="I40" s="18"/>
    </row>
    <row r="41" spans="2:9" ht="12.75">
      <c r="B41" s="16" t="s">
        <v>75</v>
      </c>
      <c r="C41" s="6" t="s">
        <v>77</v>
      </c>
      <c r="D41" s="6"/>
      <c r="E41" s="6"/>
      <c r="F41" s="6"/>
      <c r="G41" s="6"/>
      <c r="I41" s="15">
        <v>0</v>
      </c>
    </row>
    <row r="42" spans="2:9" ht="12.75">
      <c r="B42" s="16" t="s">
        <v>81</v>
      </c>
      <c r="C42" s="6" t="s">
        <v>78</v>
      </c>
      <c r="D42" s="6"/>
      <c r="E42" s="6"/>
      <c r="F42" s="6"/>
      <c r="G42" s="6"/>
      <c r="I42" s="15">
        <v>2</v>
      </c>
    </row>
    <row r="43" spans="2:9" ht="12.75">
      <c r="B43" s="16" t="s">
        <v>82</v>
      </c>
      <c r="C43" s="6" t="s">
        <v>79</v>
      </c>
      <c r="D43" s="6"/>
      <c r="E43" s="6"/>
      <c r="F43" s="6"/>
      <c r="G43" s="6"/>
      <c r="I43" s="15">
        <v>0</v>
      </c>
    </row>
    <row r="44" spans="2:9" ht="12.75">
      <c r="B44" s="16" t="s">
        <v>83</v>
      </c>
      <c r="C44" s="6" t="s">
        <v>80</v>
      </c>
      <c r="D44" s="6"/>
      <c r="E44" s="6"/>
      <c r="F44" s="6"/>
      <c r="G44" s="6"/>
      <c r="I44" s="15">
        <v>0</v>
      </c>
    </row>
    <row r="45" spans="2:9" ht="12.75">
      <c r="B45" s="16" t="s">
        <v>85</v>
      </c>
      <c r="C45" s="6" t="s">
        <v>84</v>
      </c>
      <c r="D45" s="6"/>
      <c r="E45" s="6"/>
      <c r="F45" s="6"/>
      <c r="G45" s="6"/>
      <c r="I45" s="15">
        <v>0</v>
      </c>
    </row>
    <row r="46" spans="2:9" ht="12.75">
      <c r="B46" s="16"/>
      <c r="C46" s="6"/>
      <c r="D46" s="6"/>
      <c r="E46" s="6"/>
      <c r="F46" s="6"/>
      <c r="G46" s="6"/>
      <c r="I46" s="14"/>
    </row>
    <row r="47" spans="2:9" ht="12.75">
      <c r="B47" s="17" t="s">
        <v>59</v>
      </c>
      <c r="C47" s="6"/>
      <c r="D47" s="6"/>
      <c r="E47" s="6"/>
      <c r="F47" s="6"/>
      <c r="G47" s="6"/>
      <c r="I47" s="14"/>
    </row>
    <row r="48" spans="2:9" ht="12.75">
      <c r="B48" s="16" t="s">
        <v>60</v>
      </c>
      <c r="C48" s="6" t="s">
        <v>61</v>
      </c>
      <c r="D48" s="6"/>
      <c r="E48" s="6"/>
      <c r="F48" s="6"/>
      <c r="G48" s="6"/>
      <c r="I48" s="15">
        <v>0</v>
      </c>
    </row>
    <row r="49" spans="2:9" ht="12.75">
      <c r="B49" s="16" t="s">
        <v>65</v>
      </c>
      <c r="C49" s="6" t="s">
        <v>62</v>
      </c>
      <c r="D49" s="6"/>
      <c r="E49" s="6"/>
      <c r="F49" s="6"/>
      <c r="G49" s="6"/>
      <c r="I49" s="15">
        <v>0</v>
      </c>
    </row>
    <row r="50" spans="2:9" ht="12.75">
      <c r="B50" s="16" t="s">
        <v>66</v>
      </c>
      <c r="C50" s="6" t="s">
        <v>63</v>
      </c>
      <c r="D50" s="6"/>
      <c r="E50" s="6"/>
      <c r="F50" s="6"/>
      <c r="G50" s="6"/>
      <c r="I50" s="15">
        <v>0</v>
      </c>
    </row>
    <row r="51" spans="2:9" ht="12.75">
      <c r="B51" s="16" t="s">
        <v>67</v>
      </c>
      <c r="C51" s="6" t="s">
        <v>72</v>
      </c>
      <c r="D51" s="6"/>
      <c r="E51" s="6"/>
      <c r="F51" s="6"/>
      <c r="G51" s="6"/>
      <c r="I51" s="15">
        <v>3</v>
      </c>
    </row>
    <row r="52" spans="2:9" ht="12.75">
      <c r="B52" s="16" t="s">
        <v>68</v>
      </c>
      <c r="C52" s="6" t="s">
        <v>107</v>
      </c>
      <c r="D52" s="6"/>
      <c r="E52" s="6"/>
      <c r="F52" s="6"/>
      <c r="G52" s="6"/>
      <c r="I52" s="15">
        <v>2</v>
      </c>
    </row>
    <row r="53" spans="2:9" ht="12.75">
      <c r="B53" s="16" t="s">
        <v>69</v>
      </c>
      <c r="C53" s="6" t="s">
        <v>64</v>
      </c>
      <c r="D53" s="6"/>
      <c r="E53" s="6"/>
      <c r="F53" s="6"/>
      <c r="G53" s="6"/>
      <c r="I53" s="15">
        <v>0</v>
      </c>
    </row>
    <row r="54" spans="2:9" ht="12.75">
      <c r="B54" s="16" t="s">
        <v>71</v>
      </c>
      <c r="C54" s="6" t="s">
        <v>64</v>
      </c>
      <c r="I54" s="15">
        <v>0</v>
      </c>
    </row>
    <row r="55" spans="2:9" ht="12.75">
      <c r="B55" s="16" t="s">
        <v>76</v>
      </c>
      <c r="C55" s="6" t="s">
        <v>64</v>
      </c>
      <c r="I55" s="15">
        <v>0</v>
      </c>
    </row>
    <row r="56" ht="12.75">
      <c r="I56" s="14"/>
    </row>
    <row r="57" spans="6:9" ht="12.75">
      <c r="F57" t="s">
        <v>70</v>
      </c>
      <c r="I57" s="14">
        <f>SUM(I25:I55)</f>
        <v>32</v>
      </c>
    </row>
    <row r="58" ht="12.75">
      <c r="I58" s="14"/>
    </row>
    <row r="59" spans="2:9" ht="12.75">
      <c r="B59" s="6" t="s">
        <v>86</v>
      </c>
      <c r="C59" s="6"/>
      <c r="I59" s="14"/>
    </row>
    <row r="60" spans="2:9" ht="12.75">
      <c r="B60" s="6" t="s">
        <v>87</v>
      </c>
      <c r="C60" s="6"/>
      <c r="I60" s="14"/>
    </row>
    <row r="61" spans="2:9" ht="12.75">
      <c r="B61" s="6" t="s">
        <v>88</v>
      </c>
      <c r="C61" s="6"/>
      <c r="I61" s="14"/>
    </row>
    <row r="62" spans="2:9" ht="12.75">
      <c r="B62" s="6" t="s">
        <v>73</v>
      </c>
      <c r="C62" s="6"/>
      <c r="I62" s="14"/>
    </row>
    <row r="63" ht="12.75">
      <c r="I63" s="14"/>
    </row>
    <row r="64" spans="2:9" ht="12.75">
      <c r="B64" s="12" t="s">
        <v>347</v>
      </c>
      <c r="C64" s="13"/>
      <c r="D64" s="13"/>
      <c r="E64" s="13"/>
      <c r="F64" s="13"/>
      <c r="G64" s="13"/>
      <c r="H64" s="13"/>
      <c r="I64" s="19"/>
    </row>
    <row r="65" spans="2:9" ht="12.75">
      <c r="B65" s="62"/>
      <c r="C65" s="63"/>
      <c r="D65" s="63"/>
      <c r="E65" s="63"/>
      <c r="F65" s="63"/>
      <c r="G65" s="63"/>
      <c r="H65" s="63"/>
      <c r="I65" s="64"/>
    </row>
    <row r="66" spans="2:12" ht="12.75">
      <c r="B66" s="28" t="s">
        <v>474</v>
      </c>
      <c r="C66" s="28"/>
      <c r="D66" s="28"/>
      <c r="E66" s="28"/>
      <c r="F66" s="28"/>
      <c r="G66" s="28"/>
      <c r="H66" s="28"/>
      <c r="I66" s="50"/>
      <c r="J66" s="28"/>
      <c r="K66" s="28"/>
      <c r="L66" s="28"/>
    </row>
    <row r="67" spans="2:12" ht="12.75">
      <c r="B67" s="28" t="s">
        <v>479</v>
      </c>
      <c r="C67" s="28"/>
      <c r="D67" s="28"/>
      <c r="E67" s="28"/>
      <c r="F67" s="28"/>
      <c r="G67" s="28"/>
      <c r="H67" s="28"/>
      <c r="I67" s="50"/>
      <c r="J67" s="28"/>
      <c r="K67" s="28"/>
      <c r="L67" s="28"/>
    </row>
    <row r="68" spans="2:12" ht="12.75">
      <c r="B68" s="28" t="s">
        <v>480</v>
      </c>
      <c r="C68" s="28"/>
      <c r="D68" s="28"/>
      <c r="E68" s="28"/>
      <c r="F68" s="28"/>
      <c r="G68" s="28"/>
      <c r="H68" s="28"/>
      <c r="I68" s="50"/>
      <c r="J68" s="28"/>
      <c r="K68" s="28"/>
      <c r="L68" s="28"/>
    </row>
    <row r="69" spans="2:12" ht="12.75">
      <c r="B69" s="28" t="s">
        <v>484</v>
      </c>
      <c r="C69" s="28"/>
      <c r="D69" s="28"/>
      <c r="E69" s="28"/>
      <c r="F69" s="28"/>
      <c r="G69" s="28"/>
      <c r="H69" s="28"/>
      <c r="I69" s="50"/>
      <c r="J69" s="28"/>
      <c r="K69" s="28"/>
      <c r="L69" s="28"/>
    </row>
    <row r="70" spans="2:12" ht="12.75">
      <c r="B70" s="28" t="s">
        <v>485</v>
      </c>
      <c r="C70" s="28"/>
      <c r="D70" s="28"/>
      <c r="E70" s="28"/>
      <c r="F70" s="28"/>
      <c r="G70" s="28"/>
      <c r="H70" s="28"/>
      <c r="I70" s="50"/>
      <c r="J70" s="28"/>
      <c r="K70" s="28"/>
      <c r="L70" s="28"/>
    </row>
    <row r="71" spans="2:12" ht="12.75">
      <c r="B71" s="28"/>
      <c r="C71" s="28"/>
      <c r="D71" s="28"/>
      <c r="E71" s="28"/>
      <c r="F71" s="28"/>
      <c r="G71" s="28"/>
      <c r="H71" s="28"/>
      <c r="I71" s="50"/>
      <c r="J71" s="28"/>
      <c r="K71" s="28"/>
      <c r="L71" s="28"/>
    </row>
    <row r="72" spans="2:9" ht="12.75">
      <c r="B72" s="12" t="s">
        <v>466</v>
      </c>
      <c r="C72" s="13"/>
      <c r="D72" s="13"/>
      <c r="E72" s="13"/>
      <c r="F72" s="13"/>
      <c r="G72" s="13"/>
      <c r="H72" s="13"/>
      <c r="I72" s="19"/>
    </row>
    <row r="73" spans="2:11" ht="12.75">
      <c r="B73" s="62"/>
      <c r="C73" s="63"/>
      <c r="D73" s="63"/>
      <c r="E73" s="63"/>
      <c r="F73" s="63"/>
      <c r="G73" s="63" t="s">
        <v>493</v>
      </c>
      <c r="H73" s="63"/>
      <c r="K73" t="s">
        <v>0</v>
      </c>
    </row>
    <row r="74" spans="7:11" ht="12.75">
      <c r="G74" t="s">
        <v>494</v>
      </c>
      <c r="K74" t="s">
        <v>0</v>
      </c>
    </row>
    <row r="75" spans="2:9" ht="12.75">
      <c r="B75" t="s">
        <v>481</v>
      </c>
      <c r="F75" s="69">
        <v>750000</v>
      </c>
      <c r="G75">
        <v>1.12</v>
      </c>
      <c r="H75" s="69">
        <f>F75*G75</f>
        <v>840000.0000000001</v>
      </c>
      <c r="I75" t="s">
        <v>0</v>
      </c>
    </row>
    <row r="76" spans="2:9" ht="12.75">
      <c r="B76" t="s">
        <v>0</v>
      </c>
      <c r="G76" s="69"/>
      <c r="I76" s="14"/>
    </row>
    <row r="77" spans="2:8" ht="12.75">
      <c r="B77" t="s">
        <v>483</v>
      </c>
      <c r="E77" s="23"/>
      <c r="G77" s="69"/>
      <c r="H77" t="s">
        <v>0</v>
      </c>
    </row>
    <row r="78" spans="2:9" ht="12.75">
      <c r="B78" t="s">
        <v>0</v>
      </c>
      <c r="E78" s="23" t="s">
        <v>0</v>
      </c>
      <c r="G78" s="69"/>
      <c r="H78" s="7" t="s">
        <v>335</v>
      </c>
      <c r="I78" t="s">
        <v>492</v>
      </c>
    </row>
    <row r="79" spans="2:11" ht="12.75">
      <c r="B79" s="7" t="s">
        <v>25</v>
      </c>
      <c r="C79" s="7" t="s">
        <v>486</v>
      </c>
      <c r="D79" s="7" t="s">
        <v>488</v>
      </c>
      <c r="E79" s="7" t="s">
        <v>334</v>
      </c>
      <c r="F79" s="7" t="s">
        <v>333</v>
      </c>
      <c r="G79" s="7" t="s">
        <v>377</v>
      </c>
      <c r="H79" s="7" t="s">
        <v>205</v>
      </c>
      <c r="I79" s="7" t="s">
        <v>205</v>
      </c>
      <c r="J79" s="82" t="s">
        <v>489</v>
      </c>
      <c r="K79" s="63" t="s">
        <v>493</v>
      </c>
    </row>
    <row r="80" spans="2:11" ht="12.75">
      <c r="B80" s="7"/>
      <c r="C80" s="80" t="s">
        <v>487</v>
      </c>
      <c r="D80" s="7" t="s">
        <v>373</v>
      </c>
      <c r="E80" s="61" t="s">
        <v>332</v>
      </c>
      <c r="F80" s="7" t="s">
        <v>22</v>
      </c>
      <c r="G80" s="7" t="s">
        <v>334</v>
      </c>
      <c r="H80" s="81" t="s">
        <v>285</v>
      </c>
      <c r="I80" s="7" t="s">
        <v>285</v>
      </c>
      <c r="J80" s="7" t="s">
        <v>490</v>
      </c>
      <c r="K80" t="s">
        <v>494</v>
      </c>
    </row>
    <row r="81" spans="2:12" ht="12.75">
      <c r="B81" s="22" t="s">
        <v>499</v>
      </c>
      <c r="C81" s="38">
        <v>637500</v>
      </c>
      <c r="D81" s="38">
        <v>270000</v>
      </c>
      <c r="E81" s="38">
        <f>C81-D81</f>
        <v>367500</v>
      </c>
      <c r="F81" s="38">
        <v>79500</v>
      </c>
      <c r="G81" s="38">
        <f>E81-F81</f>
        <v>288000</v>
      </c>
      <c r="H81" s="38">
        <v>42000</v>
      </c>
      <c r="I81" s="38">
        <f>G81+H81</f>
        <v>330000</v>
      </c>
      <c r="J81" s="38">
        <f>I81*0.5</f>
        <v>165000</v>
      </c>
      <c r="K81" s="83">
        <v>1.15</v>
      </c>
      <c r="L81" s="38">
        <f>J81*K81</f>
        <v>189749.99999999997</v>
      </c>
    </row>
    <row r="82" spans="2:12" ht="12.75">
      <c r="B82">
        <v>2</v>
      </c>
      <c r="C82" s="38">
        <v>895000</v>
      </c>
      <c r="D82" s="38">
        <v>366000</v>
      </c>
      <c r="E82" s="38">
        <f aca="true" t="shared" si="0" ref="E82:E90">C82-D82</f>
        <v>529000</v>
      </c>
      <c r="F82" s="38">
        <v>119000</v>
      </c>
      <c r="G82" s="38">
        <f aca="true" t="shared" si="1" ref="G82:G90">E82-F82</f>
        <v>410000</v>
      </c>
      <c r="H82" s="38">
        <v>82000</v>
      </c>
      <c r="I82" s="38">
        <f aca="true" t="shared" si="2" ref="I82:I90">G82+H82</f>
        <v>492000</v>
      </c>
      <c r="J82" s="38">
        <f aca="true" t="shared" si="3" ref="J82:J90">I82*0.5</f>
        <v>246000</v>
      </c>
      <c r="K82" s="83">
        <v>1.18</v>
      </c>
      <c r="L82" s="38">
        <f aca="true" t="shared" si="4" ref="L82:L90">J82*K82</f>
        <v>290280</v>
      </c>
    </row>
    <row r="83" spans="2:12" ht="12.75">
      <c r="B83">
        <v>3</v>
      </c>
      <c r="C83" s="38">
        <v>912000</v>
      </c>
      <c r="D83" s="38">
        <v>377000</v>
      </c>
      <c r="E83" s="38">
        <f t="shared" si="0"/>
        <v>535000</v>
      </c>
      <c r="F83" s="38">
        <v>101000</v>
      </c>
      <c r="G83" s="38">
        <f t="shared" si="1"/>
        <v>434000</v>
      </c>
      <c r="H83" s="38">
        <v>55000</v>
      </c>
      <c r="I83" s="38">
        <f t="shared" si="2"/>
        <v>489000</v>
      </c>
      <c r="J83" s="38">
        <f t="shared" si="3"/>
        <v>244500</v>
      </c>
      <c r="K83" s="83">
        <v>1.21</v>
      </c>
      <c r="L83" s="38">
        <f t="shared" si="4"/>
        <v>295845</v>
      </c>
    </row>
    <row r="84" spans="2:12" ht="12.75">
      <c r="B84">
        <v>4</v>
      </c>
      <c r="C84" s="38">
        <v>942000</v>
      </c>
      <c r="D84" s="38">
        <v>378000</v>
      </c>
      <c r="E84" s="38">
        <f t="shared" si="0"/>
        <v>564000</v>
      </c>
      <c r="F84" s="38">
        <v>104000</v>
      </c>
      <c r="G84" s="38">
        <f t="shared" si="1"/>
        <v>460000</v>
      </c>
      <c r="H84" s="38">
        <v>68000</v>
      </c>
      <c r="I84" s="38">
        <f t="shared" si="2"/>
        <v>528000</v>
      </c>
      <c r="J84" s="38">
        <f t="shared" si="3"/>
        <v>264000</v>
      </c>
      <c r="K84" s="83">
        <v>1.2</v>
      </c>
      <c r="L84" s="38">
        <f t="shared" si="4"/>
        <v>316800</v>
      </c>
    </row>
    <row r="85" spans="2:12" ht="12.75">
      <c r="B85">
        <v>5</v>
      </c>
      <c r="C85" s="38">
        <v>977000</v>
      </c>
      <c r="D85" s="38">
        <v>370000</v>
      </c>
      <c r="E85" s="38">
        <f t="shared" si="0"/>
        <v>607000</v>
      </c>
      <c r="F85" s="38">
        <v>112000</v>
      </c>
      <c r="G85" s="38">
        <f t="shared" si="1"/>
        <v>495000</v>
      </c>
      <c r="H85" s="38">
        <v>88000</v>
      </c>
      <c r="I85" s="38">
        <f t="shared" si="2"/>
        <v>583000</v>
      </c>
      <c r="J85" s="38">
        <f t="shared" si="3"/>
        <v>291500</v>
      </c>
      <c r="K85" s="83">
        <v>1.17</v>
      </c>
      <c r="L85" s="38">
        <f t="shared" si="4"/>
        <v>341055</v>
      </c>
    </row>
    <row r="86" spans="2:12" ht="12.75">
      <c r="B86">
        <v>6</v>
      </c>
      <c r="C86" s="38">
        <v>1015000</v>
      </c>
      <c r="D86" s="38">
        <v>368000</v>
      </c>
      <c r="E86" s="38">
        <f t="shared" si="0"/>
        <v>647000</v>
      </c>
      <c r="F86" s="38">
        <v>129000</v>
      </c>
      <c r="G86" s="38">
        <f t="shared" si="1"/>
        <v>518000</v>
      </c>
      <c r="H86" s="38">
        <v>90000</v>
      </c>
      <c r="I86" s="38">
        <f t="shared" si="2"/>
        <v>608000</v>
      </c>
      <c r="J86" s="38">
        <f t="shared" si="3"/>
        <v>304000</v>
      </c>
      <c r="K86" s="83">
        <v>1.17</v>
      </c>
      <c r="L86" s="38">
        <f t="shared" si="4"/>
        <v>355680</v>
      </c>
    </row>
    <row r="87" spans="2:12" ht="12.75">
      <c r="B87">
        <v>7</v>
      </c>
      <c r="C87" s="38">
        <v>1045000</v>
      </c>
      <c r="D87" s="38">
        <v>362000</v>
      </c>
      <c r="E87" s="38">
        <f t="shared" si="0"/>
        <v>683000</v>
      </c>
      <c r="F87" s="38">
        <v>140000</v>
      </c>
      <c r="G87" s="38">
        <f t="shared" si="1"/>
        <v>543000</v>
      </c>
      <c r="H87" s="38">
        <v>110000</v>
      </c>
      <c r="I87" s="38">
        <f t="shared" si="2"/>
        <v>653000</v>
      </c>
      <c r="J87" s="38">
        <f t="shared" si="3"/>
        <v>326500</v>
      </c>
      <c r="K87" s="83">
        <v>1.17</v>
      </c>
      <c r="L87" s="38">
        <f t="shared" si="4"/>
        <v>382005</v>
      </c>
    </row>
    <row r="88" spans="2:12" ht="12.75">
      <c r="B88">
        <v>8</v>
      </c>
      <c r="C88" s="38">
        <v>1088000</v>
      </c>
      <c r="D88" s="38">
        <v>355000</v>
      </c>
      <c r="E88" s="38">
        <f t="shared" si="0"/>
        <v>733000</v>
      </c>
      <c r="F88" s="38">
        <v>138000</v>
      </c>
      <c r="G88" s="38">
        <f t="shared" si="1"/>
        <v>595000</v>
      </c>
      <c r="H88" s="38">
        <v>115000</v>
      </c>
      <c r="I88" s="38">
        <f t="shared" si="2"/>
        <v>710000</v>
      </c>
      <c r="J88" s="38">
        <f t="shared" si="3"/>
        <v>355000</v>
      </c>
      <c r="K88" s="83">
        <v>1.17</v>
      </c>
      <c r="L88" s="38">
        <f t="shared" si="4"/>
        <v>415350</v>
      </c>
    </row>
    <row r="89" spans="2:12" ht="12.75">
      <c r="B89">
        <v>9</v>
      </c>
      <c r="C89" s="38">
        <v>1135000</v>
      </c>
      <c r="D89" s="38">
        <v>350000</v>
      </c>
      <c r="E89" s="38">
        <f t="shared" si="0"/>
        <v>785000</v>
      </c>
      <c r="F89" s="38">
        <v>151000</v>
      </c>
      <c r="G89" s="38">
        <f t="shared" si="1"/>
        <v>634000</v>
      </c>
      <c r="H89" s="38">
        <v>122000</v>
      </c>
      <c r="I89" s="38">
        <f t="shared" si="2"/>
        <v>756000</v>
      </c>
      <c r="J89" s="38">
        <f t="shared" si="3"/>
        <v>378000</v>
      </c>
      <c r="K89" s="83">
        <v>1.17</v>
      </c>
      <c r="L89" s="38">
        <f t="shared" si="4"/>
        <v>442260</v>
      </c>
    </row>
    <row r="90" spans="2:12" ht="12.75">
      <c r="B90">
        <v>10</v>
      </c>
      <c r="C90" s="38">
        <v>1180000</v>
      </c>
      <c r="D90" s="38">
        <v>348000</v>
      </c>
      <c r="E90" s="38">
        <f t="shared" si="0"/>
        <v>832000</v>
      </c>
      <c r="F90" s="38">
        <v>157000</v>
      </c>
      <c r="G90" s="38">
        <f t="shared" si="1"/>
        <v>675000</v>
      </c>
      <c r="H90" s="38">
        <v>135000</v>
      </c>
      <c r="I90" s="38">
        <f t="shared" si="2"/>
        <v>810000</v>
      </c>
      <c r="J90" s="38">
        <f t="shared" si="3"/>
        <v>405000</v>
      </c>
      <c r="K90" s="83">
        <v>1.17</v>
      </c>
      <c r="L90" s="38">
        <f t="shared" si="4"/>
        <v>473850</v>
      </c>
    </row>
    <row r="91" spans="3:11" ht="12.75">
      <c r="C91" s="38"/>
      <c r="D91" s="38"/>
      <c r="E91" s="38"/>
      <c r="F91" s="38"/>
      <c r="G91" s="38"/>
      <c r="H91" s="38"/>
      <c r="I91" s="38"/>
      <c r="J91" s="38"/>
      <c r="K91" s="38"/>
    </row>
    <row r="93" ht="12.75">
      <c r="C93" t="s">
        <v>491</v>
      </c>
    </row>
    <row r="94" ht="12.75">
      <c r="C94" t="s">
        <v>500</v>
      </c>
    </row>
    <row r="96" spans="2:10" ht="12.75">
      <c r="B96" s="12" t="s">
        <v>495</v>
      </c>
      <c r="C96" s="13"/>
      <c r="D96" s="13"/>
      <c r="E96" s="13"/>
      <c r="F96" s="13"/>
      <c r="G96" s="13"/>
      <c r="H96" s="13"/>
      <c r="I96" s="13"/>
      <c r="J96" s="23"/>
    </row>
    <row r="97" spans="4:8" ht="12.75">
      <c r="D97" t="s">
        <v>0</v>
      </c>
      <c r="H97" t="s">
        <v>0</v>
      </c>
    </row>
    <row r="98" spans="3:9" ht="12.75">
      <c r="C98" t="s">
        <v>157</v>
      </c>
      <c r="I98" t="s">
        <v>0</v>
      </c>
    </row>
    <row r="99" spans="5:10" ht="12.75">
      <c r="E99" s="7" t="s">
        <v>205</v>
      </c>
      <c r="F99" s="7" t="s">
        <v>161</v>
      </c>
      <c r="G99" s="7" t="s">
        <v>0</v>
      </c>
      <c r="I99" s="31"/>
      <c r="J99" s="31"/>
    </row>
    <row r="100" spans="4:7" ht="12.75">
      <c r="D100" s="7" t="s">
        <v>25</v>
      </c>
      <c r="E100" s="7" t="s">
        <v>262</v>
      </c>
      <c r="F100" s="7" t="s">
        <v>162</v>
      </c>
      <c r="G100" s="7" t="s">
        <v>165</v>
      </c>
    </row>
    <row r="101" spans="3:7" ht="12.75">
      <c r="C101" t="s">
        <v>0</v>
      </c>
      <c r="D101">
        <v>0</v>
      </c>
      <c r="E101" s="23">
        <f>H75*-1</f>
        <v>-840000.0000000001</v>
      </c>
      <c r="F101" s="23">
        <f>E101</f>
        <v>-840000.0000000001</v>
      </c>
      <c r="G101" s="23"/>
    </row>
    <row r="102" spans="3:7" ht="12.75">
      <c r="C102" t="s">
        <v>0</v>
      </c>
      <c r="D102">
        <v>1</v>
      </c>
      <c r="E102" s="23">
        <f>L81</f>
        <v>189749.99999999997</v>
      </c>
      <c r="F102" s="23">
        <f>E102/(1+$H$114)^D102</f>
        <v>167180.61674008807</v>
      </c>
      <c r="G102" s="23">
        <f>SUM($F$101:F102)</f>
        <v>-672819.383259912</v>
      </c>
    </row>
    <row r="103" spans="3:7" ht="12.75">
      <c r="C103" t="s">
        <v>0</v>
      </c>
      <c r="D103">
        <v>2</v>
      </c>
      <c r="E103" s="23">
        <f aca="true" t="shared" si="5" ref="E103:E111">L82</f>
        <v>290280</v>
      </c>
      <c r="F103" s="23">
        <f aca="true" t="shared" si="6" ref="F103:F111">E103/(1+$H$114)^D103</f>
        <v>225333.30745793632</v>
      </c>
      <c r="G103" s="23">
        <f>SUM($F$101:F103)</f>
        <v>-447486.0758019757</v>
      </c>
    </row>
    <row r="104" spans="3:7" ht="12.75">
      <c r="C104" t="s">
        <v>0</v>
      </c>
      <c r="D104">
        <v>3</v>
      </c>
      <c r="E104" s="23">
        <f t="shared" si="5"/>
        <v>295845</v>
      </c>
      <c r="F104" s="23">
        <f t="shared" si="6"/>
        <v>202337.62554305207</v>
      </c>
      <c r="G104" s="23">
        <f>SUM($F$101:F104)</f>
        <v>-245148.4502589236</v>
      </c>
    </row>
    <row r="105" spans="3:7" ht="12.75">
      <c r="C105" t="s">
        <v>0</v>
      </c>
      <c r="D105">
        <v>4</v>
      </c>
      <c r="E105" s="23">
        <f t="shared" si="5"/>
        <v>316800</v>
      </c>
      <c r="F105" s="23">
        <f t="shared" si="6"/>
        <v>190898.15314213128</v>
      </c>
      <c r="G105" s="23">
        <f>SUM($F$101:F105)</f>
        <v>-54250.297116792324</v>
      </c>
    </row>
    <row r="106" spans="3:7" ht="12.75">
      <c r="C106" t="s">
        <v>0</v>
      </c>
      <c r="D106">
        <v>5</v>
      </c>
      <c r="E106" s="23">
        <f t="shared" si="5"/>
        <v>341055</v>
      </c>
      <c r="F106" s="23">
        <f t="shared" si="6"/>
        <v>181069.4211383927</v>
      </c>
      <c r="G106" s="23">
        <f>SUM($F$101:F106)</f>
        <v>126819.12402160038</v>
      </c>
    </row>
    <row r="107" spans="3:7" ht="12.75">
      <c r="C107" t="s">
        <v>0</v>
      </c>
      <c r="D107">
        <v>6</v>
      </c>
      <c r="E107" s="23">
        <f t="shared" si="5"/>
        <v>355680</v>
      </c>
      <c r="F107" s="23">
        <f t="shared" si="6"/>
        <v>166373.5472032745</v>
      </c>
      <c r="G107" s="23">
        <f>SUM($F$101:F107)</f>
        <v>293192.6712248749</v>
      </c>
    </row>
    <row r="108" spans="3:7" ht="12.75">
      <c r="C108" t="s">
        <v>0</v>
      </c>
      <c r="D108">
        <v>7</v>
      </c>
      <c r="E108" s="23">
        <f t="shared" si="5"/>
        <v>382005</v>
      </c>
      <c r="F108" s="23">
        <f t="shared" si="6"/>
        <v>157433.8139400334</v>
      </c>
      <c r="G108" s="23">
        <f>SUM($F$101:F108)</f>
        <v>450626.48516490834</v>
      </c>
    </row>
    <row r="109" spans="4:7" ht="12.75">
      <c r="D109">
        <v>8</v>
      </c>
      <c r="E109" s="23">
        <f t="shared" si="5"/>
        <v>415350</v>
      </c>
      <c r="F109" s="23">
        <f t="shared" si="6"/>
        <v>150815.9668320712</v>
      </c>
      <c r="G109" s="23">
        <f>SUM($F$101:F109)</f>
        <v>601442.4519969795</v>
      </c>
    </row>
    <row r="110" spans="4:7" ht="12.75">
      <c r="D110">
        <v>9</v>
      </c>
      <c r="E110" s="23">
        <f t="shared" si="5"/>
        <v>442260</v>
      </c>
      <c r="F110" s="23">
        <f t="shared" si="6"/>
        <v>141486.468852821</v>
      </c>
      <c r="G110" s="23">
        <f>SUM($F$101:F110)</f>
        <v>742928.9208498006</v>
      </c>
    </row>
    <row r="111" spans="4:7" ht="12.75">
      <c r="D111">
        <v>10</v>
      </c>
      <c r="E111" s="23">
        <f t="shared" si="5"/>
        <v>473850</v>
      </c>
      <c r="F111" s="23">
        <f t="shared" si="6"/>
        <v>133561.8019378424</v>
      </c>
      <c r="G111" s="23">
        <f>SUM($F$101:F111)</f>
        <v>876490.722787643</v>
      </c>
    </row>
    <row r="112" spans="4:7" ht="12.75">
      <c r="D112" t="s">
        <v>159</v>
      </c>
      <c r="E112" s="23"/>
      <c r="F112" s="23">
        <f>SUM(F101:F111)</f>
        <v>876490.722787643</v>
      </c>
      <c r="G112" s="23"/>
    </row>
    <row r="114" spans="4:8" ht="12.75">
      <c r="D114" t="s">
        <v>160</v>
      </c>
      <c r="H114" s="21">
        <v>0.135</v>
      </c>
    </row>
    <row r="115" spans="4:8" ht="12.75">
      <c r="D115" t="s">
        <v>164</v>
      </c>
      <c r="H115" s="21">
        <v>0.035</v>
      </c>
    </row>
    <row r="117" spans="4:9" ht="12.75">
      <c r="D117" s="11" t="s">
        <v>159</v>
      </c>
      <c r="G117" s="23" t="s">
        <v>0</v>
      </c>
      <c r="H117" s="43">
        <f>NPV(H114,E102:E111)+E101</f>
        <v>876490.7227876427</v>
      </c>
      <c r="I117" t="s">
        <v>0</v>
      </c>
    </row>
    <row r="118" spans="4:8" ht="12.75">
      <c r="D118" s="11" t="s">
        <v>163</v>
      </c>
      <c r="E118" s="11"/>
      <c r="F118" s="11"/>
      <c r="G118" s="11"/>
      <c r="H118" s="39">
        <f>MIRR(E101:E111,,H115)</f>
        <v>0.16948372244434817</v>
      </c>
    </row>
    <row r="119" spans="4:8" ht="12.75">
      <c r="D119" s="11" t="s">
        <v>168</v>
      </c>
      <c r="H119" s="42">
        <f>5+((G105*-1)/F106)</f>
        <v>5.299610485170373</v>
      </c>
    </row>
    <row r="121" spans="2:9" ht="12.75">
      <c r="B121" s="12" t="s">
        <v>192</v>
      </c>
      <c r="C121" s="13"/>
      <c r="D121" s="13"/>
      <c r="E121" s="13"/>
      <c r="F121" s="13"/>
      <c r="G121" s="13"/>
      <c r="H121" s="13"/>
      <c r="I121" s="13"/>
    </row>
    <row r="123" spans="3:7" ht="12.75">
      <c r="C123" t="s">
        <v>193</v>
      </c>
      <c r="G123" t="str">
        <f>IF(H117&gt;0,"Yes","No")</f>
        <v>Yes</v>
      </c>
    </row>
    <row r="124" spans="3:7" ht="12.75">
      <c r="C124" t="s">
        <v>196</v>
      </c>
      <c r="G124" t="str">
        <f>IF(H118&gt;H114,"Yes","No")</f>
        <v>Yes</v>
      </c>
    </row>
    <row r="125" spans="3:7" ht="12.75">
      <c r="C125" t="s">
        <v>197</v>
      </c>
      <c r="G125" t="str">
        <f>IF(H119&gt;0,"Yes","No")</f>
        <v>Yes</v>
      </c>
    </row>
    <row r="127" ht="12.75">
      <c r="C127" s="6" t="s">
        <v>194</v>
      </c>
    </row>
    <row r="128" ht="12.75">
      <c r="C128" s="6" t="s">
        <v>195</v>
      </c>
    </row>
    <row r="131" spans="2:9" ht="12.75">
      <c r="B131" s="12" t="s">
        <v>216</v>
      </c>
      <c r="C131" s="13"/>
      <c r="D131" s="13"/>
      <c r="E131" s="13"/>
      <c r="F131" s="13"/>
      <c r="G131" s="13"/>
      <c r="H131" s="13"/>
      <c r="I131" s="13"/>
    </row>
    <row r="133" spans="3:6" ht="12.75">
      <c r="C133" t="s">
        <v>217</v>
      </c>
      <c r="F133" s="26">
        <f>H114-'Lead Worksheet'!$E$51</f>
        <v>0.04000000000000001</v>
      </c>
    </row>
    <row r="135" ht="12.75">
      <c r="C135" t="s">
        <v>242</v>
      </c>
    </row>
    <row r="136" ht="12.75">
      <c r="C136" t="s">
        <v>243</v>
      </c>
    </row>
    <row r="137" spans="4:10" ht="12.75">
      <c r="D137" t="s">
        <v>219</v>
      </c>
      <c r="I137" s="30">
        <v>1</v>
      </c>
      <c r="J137" t="s">
        <v>244</v>
      </c>
    </row>
    <row r="138" spans="4:10" ht="12.75">
      <c r="D138" t="s">
        <v>220</v>
      </c>
      <c r="I138">
        <v>1</v>
      </c>
      <c r="J138" t="s">
        <v>245</v>
      </c>
    </row>
    <row r="139" spans="4:10" ht="12.75">
      <c r="D139" t="s">
        <v>246</v>
      </c>
      <c r="I139" s="34">
        <f>2-I137</f>
        <v>1</v>
      </c>
      <c r="J139" t="s">
        <v>248</v>
      </c>
    </row>
    <row r="140" spans="4:9" ht="12.75">
      <c r="D140" t="s">
        <v>247</v>
      </c>
      <c r="I140" s="34">
        <f>I138^I139</f>
        <v>1</v>
      </c>
    </row>
    <row r="142" spans="4:9" ht="12.75">
      <c r="D142" t="s">
        <v>249</v>
      </c>
      <c r="I142" s="3">
        <v>0.6</v>
      </c>
    </row>
    <row r="143" spans="4:10" ht="12.75">
      <c r="D143" t="s">
        <v>250</v>
      </c>
      <c r="I143" s="3">
        <v>6</v>
      </c>
      <c r="J143" t="s">
        <v>0</v>
      </c>
    </row>
    <row r="144" spans="4:10" ht="12.75">
      <c r="D144" t="s">
        <v>251</v>
      </c>
      <c r="I144">
        <f>2-I142</f>
        <v>1.4</v>
      </c>
      <c r="J144" t="s">
        <v>0</v>
      </c>
    </row>
    <row r="145" spans="4:9" ht="12.75">
      <c r="D145" s="11" t="s">
        <v>252</v>
      </c>
      <c r="E145" s="11"/>
      <c r="F145" s="11"/>
      <c r="G145" s="11"/>
      <c r="H145" s="11"/>
      <c r="I145" s="44">
        <f>I143^I144</f>
        <v>12.286035066475314</v>
      </c>
    </row>
    <row r="147" ht="12.75">
      <c r="C147" t="s">
        <v>221</v>
      </c>
    </row>
    <row r="148" spans="3:9" ht="12.75">
      <c r="C148" s="22" t="s">
        <v>222</v>
      </c>
      <c r="D148" t="s">
        <v>225</v>
      </c>
      <c r="I148" s="21">
        <v>0.25</v>
      </c>
    </row>
    <row r="149" spans="3:9" ht="12.75">
      <c r="C149" s="22" t="s">
        <v>223</v>
      </c>
      <c r="D149" t="s">
        <v>226</v>
      </c>
      <c r="I149" s="21">
        <v>0.5</v>
      </c>
    </row>
    <row r="150" spans="3:9" ht="12.75">
      <c r="C150" s="22" t="s">
        <v>224</v>
      </c>
      <c r="D150" t="s">
        <v>227</v>
      </c>
      <c r="I150" s="21">
        <v>0.25</v>
      </c>
    </row>
    <row r="151" spans="5:9" ht="12.75">
      <c r="E151" t="s">
        <v>228</v>
      </c>
      <c r="G151" s="26">
        <v>1</v>
      </c>
      <c r="I151" s="26">
        <f>SUM(I148:I150)</f>
        <v>1</v>
      </c>
    </row>
    <row r="153" ht="12.75">
      <c r="C153" s="31" t="s">
        <v>229</v>
      </c>
    </row>
    <row r="154" ht="12.75">
      <c r="C154" s="31"/>
    </row>
    <row r="155" spans="7:9" ht="12.75">
      <c r="G155" s="7" t="s">
        <v>0</v>
      </c>
      <c r="H155" s="7" t="s">
        <v>235</v>
      </c>
      <c r="I155" s="7" t="s">
        <v>237</v>
      </c>
    </row>
    <row r="156" spans="4:9" ht="12.75">
      <c r="D156" s="106" t="s">
        <v>354</v>
      </c>
      <c r="E156" s="105"/>
      <c r="F156" s="105"/>
      <c r="G156" s="7" t="s">
        <v>233</v>
      </c>
      <c r="H156" s="7" t="s">
        <v>234</v>
      </c>
      <c r="I156" s="7" t="s">
        <v>238</v>
      </c>
    </row>
    <row r="157" spans="3:9" ht="12.75">
      <c r="C157" s="46" t="s">
        <v>25</v>
      </c>
      <c r="D157" s="46" t="s">
        <v>232</v>
      </c>
      <c r="E157" s="46" t="s">
        <v>230</v>
      </c>
      <c r="F157" s="46" t="s">
        <v>231</v>
      </c>
      <c r="G157" s="46" t="s">
        <v>162</v>
      </c>
      <c r="H157" s="46" t="s">
        <v>236</v>
      </c>
      <c r="I157" s="46" t="s">
        <v>239</v>
      </c>
    </row>
    <row r="158" spans="3:9" ht="12.75">
      <c r="C158">
        <v>1</v>
      </c>
      <c r="D158" s="32">
        <v>132000</v>
      </c>
      <c r="E158" s="23">
        <f>L81</f>
        <v>189749.99999999997</v>
      </c>
      <c r="F158" s="32">
        <v>198500</v>
      </c>
      <c r="G158" s="23">
        <f>(D158*$I$148)+(E158*$I$149)+(F158*$I$150)</f>
        <v>177500</v>
      </c>
      <c r="H158" s="23">
        <f>STDEV(D158,G158)+STDEV(E158,G158)+STDEV(F158,G158)</f>
        <v>55684.65901844019</v>
      </c>
      <c r="I158" s="33">
        <f>H158/G158</f>
        <v>0.3137163888362827</v>
      </c>
    </row>
    <row r="159" spans="3:9" ht="12.75">
      <c r="C159">
        <v>2</v>
      </c>
      <c r="D159" s="32">
        <v>227300</v>
      </c>
      <c r="E159" s="23">
        <f aca="true" t="shared" si="7" ref="E159:E167">L82</f>
        <v>290280</v>
      </c>
      <c r="F159" s="32">
        <v>311100</v>
      </c>
      <c r="G159" s="23">
        <f aca="true" t="shared" si="8" ref="G159:G167">(D159*$I$148)+(E159*$I$149)+(F159*$I$150)</f>
        <v>279740</v>
      </c>
      <c r="H159" s="23">
        <f aca="true" t="shared" si="9" ref="H159:H168">STDEV(D159,G159)+STDEV(E159,G159)+STDEV(F159,G159)</f>
        <v>66708.45373713889</v>
      </c>
      <c r="I159" s="33">
        <f aca="true" t="shared" si="10" ref="I159:I168">H159/G159</f>
        <v>0.23846591026359792</v>
      </c>
    </row>
    <row r="160" spans="3:9" ht="12.75">
      <c r="C160">
        <v>3</v>
      </c>
      <c r="D160" s="32">
        <v>239100</v>
      </c>
      <c r="E160" s="23">
        <f t="shared" si="7"/>
        <v>295845</v>
      </c>
      <c r="F160" s="32">
        <v>315200</v>
      </c>
      <c r="G160" s="23">
        <f t="shared" si="8"/>
        <v>286497.5</v>
      </c>
      <c r="H160" s="23">
        <f t="shared" si="9"/>
        <v>60420.50668543752</v>
      </c>
      <c r="I160" s="33">
        <f t="shared" si="10"/>
        <v>0.21089366115040278</v>
      </c>
    </row>
    <row r="161" spans="3:9" ht="12.75">
      <c r="C161">
        <v>4</v>
      </c>
      <c r="D161" s="32">
        <v>244050</v>
      </c>
      <c r="E161" s="23">
        <f t="shared" si="7"/>
        <v>316800</v>
      </c>
      <c r="F161" s="32">
        <v>340500</v>
      </c>
      <c r="G161" s="23">
        <f t="shared" si="8"/>
        <v>304537.5</v>
      </c>
      <c r="H161" s="23">
        <f t="shared" si="9"/>
        <v>76871.34594974255</v>
      </c>
      <c r="I161" s="33">
        <f t="shared" si="10"/>
        <v>0.2524199678192096</v>
      </c>
    </row>
    <row r="162" spans="3:9" ht="12.75">
      <c r="C162">
        <v>5</v>
      </c>
      <c r="D162" s="32">
        <v>267800</v>
      </c>
      <c r="E162" s="23">
        <f t="shared" si="7"/>
        <v>341055</v>
      </c>
      <c r="F162" s="32">
        <v>368500</v>
      </c>
      <c r="G162" s="23">
        <f t="shared" si="8"/>
        <v>329602.5</v>
      </c>
      <c r="H162" s="23">
        <f t="shared" si="9"/>
        <v>79303.79327702428</v>
      </c>
      <c r="I162" s="33">
        <f t="shared" si="10"/>
        <v>0.2406043439507415</v>
      </c>
    </row>
    <row r="163" spans="3:9" ht="12.75">
      <c r="C163">
        <v>6</v>
      </c>
      <c r="D163" s="32">
        <v>285200</v>
      </c>
      <c r="E163" s="23">
        <f t="shared" si="7"/>
        <v>355680</v>
      </c>
      <c r="F163" s="32">
        <v>387500</v>
      </c>
      <c r="G163" s="23">
        <f t="shared" si="8"/>
        <v>346015</v>
      </c>
      <c r="H163" s="23">
        <f t="shared" si="9"/>
        <v>79171.2107555518</v>
      </c>
      <c r="I163" s="33">
        <f t="shared" si="10"/>
        <v>0.22880860874688033</v>
      </c>
    </row>
    <row r="164" spans="3:9" ht="12.75">
      <c r="C164">
        <v>7</v>
      </c>
      <c r="D164" s="32">
        <v>307900</v>
      </c>
      <c r="E164" s="23">
        <f t="shared" si="7"/>
        <v>382005</v>
      </c>
      <c r="F164" s="32">
        <v>416900</v>
      </c>
      <c r="G164" s="23">
        <f t="shared" si="8"/>
        <v>372202.5</v>
      </c>
      <c r="H164" s="23">
        <f t="shared" si="9"/>
        <v>84006.05337191481</v>
      </c>
      <c r="I164" s="33">
        <f t="shared" si="10"/>
        <v>0.22569986330536418</v>
      </c>
    </row>
    <row r="165" spans="3:9" ht="12.75">
      <c r="C165">
        <v>8</v>
      </c>
      <c r="D165" s="32">
        <v>329100</v>
      </c>
      <c r="E165" s="23">
        <f t="shared" si="7"/>
        <v>415350</v>
      </c>
      <c r="F165" s="32">
        <v>460900</v>
      </c>
      <c r="G165" s="23">
        <f t="shared" si="8"/>
        <v>405175</v>
      </c>
      <c r="H165" s="23">
        <f t="shared" si="9"/>
        <v>100391.48525896008</v>
      </c>
      <c r="I165" s="33">
        <f t="shared" si="10"/>
        <v>0.24777314804457354</v>
      </c>
    </row>
    <row r="166" spans="3:9" ht="12.75">
      <c r="C166">
        <v>9</v>
      </c>
      <c r="D166" s="32">
        <v>363300</v>
      </c>
      <c r="E166" s="23">
        <f t="shared" si="7"/>
        <v>442260</v>
      </c>
      <c r="F166" s="32">
        <v>484800</v>
      </c>
      <c r="G166" s="23">
        <f t="shared" si="8"/>
        <v>433155</v>
      </c>
      <c r="H166" s="23">
        <f t="shared" si="9"/>
        <v>92351.68115686905</v>
      </c>
      <c r="I166" s="33">
        <f t="shared" si="10"/>
        <v>0.21320700709184714</v>
      </c>
    </row>
    <row r="167" spans="3:9" ht="12.75">
      <c r="C167">
        <v>10</v>
      </c>
      <c r="D167" s="32">
        <v>380050</v>
      </c>
      <c r="E167" s="23">
        <f t="shared" si="7"/>
        <v>473850</v>
      </c>
      <c r="F167" s="32">
        <v>517100</v>
      </c>
      <c r="G167" s="23">
        <f t="shared" si="8"/>
        <v>461212.5</v>
      </c>
      <c r="H167" s="23">
        <f t="shared" si="9"/>
        <v>105845.04630886132</v>
      </c>
      <c r="I167" s="33">
        <f t="shared" si="10"/>
        <v>0.22949301310970827</v>
      </c>
    </row>
    <row r="168" spans="4:9" ht="12.75">
      <c r="D168" s="23">
        <f>SUM(D158:D167)</f>
        <v>2775800</v>
      </c>
      <c r="E168" s="23">
        <f>SUM(E158:E167)</f>
        <v>3502875</v>
      </c>
      <c r="F168" s="23">
        <f>SUM(F158:F167)</f>
        <v>3801000</v>
      </c>
      <c r="G168" s="23">
        <f>SUM(G158:G167)</f>
        <v>3395637.5</v>
      </c>
      <c r="H168" s="23">
        <f t="shared" si="9"/>
        <v>800754.235519941</v>
      </c>
      <c r="I168" s="33">
        <f t="shared" si="10"/>
        <v>0.2358185276019425</v>
      </c>
    </row>
    <row r="170" spans="4:8" ht="12.75">
      <c r="D170" s="11" t="s">
        <v>241</v>
      </c>
      <c r="E170" s="11"/>
      <c r="F170" s="11"/>
      <c r="G170" s="11"/>
      <c r="H170" s="25">
        <f>H168</f>
        <v>800754.235519941</v>
      </c>
    </row>
    <row r="171" spans="4:8" ht="12.75">
      <c r="D171" s="11" t="s">
        <v>299</v>
      </c>
      <c r="E171" s="11"/>
      <c r="F171" s="11"/>
      <c r="G171" s="11"/>
      <c r="H171" s="45">
        <f>I168</f>
        <v>0.2358185276019425</v>
      </c>
    </row>
    <row r="172" spans="4:8" ht="12.75">
      <c r="D172" s="11"/>
      <c r="E172" s="11"/>
      <c r="F172" s="11"/>
      <c r="G172" s="11"/>
      <c r="H172" s="45"/>
    </row>
    <row r="174" spans="2:9" ht="12.75">
      <c r="B174" s="12" t="s">
        <v>261</v>
      </c>
      <c r="C174" s="13"/>
      <c r="D174" s="13"/>
      <c r="E174" s="13"/>
      <c r="F174" s="13"/>
      <c r="G174" s="13"/>
      <c r="H174" s="13"/>
      <c r="I174" s="13"/>
    </row>
    <row r="176" spans="5:7" ht="12.75">
      <c r="E176" s="7" t="s">
        <v>233</v>
      </c>
      <c r="F176" s="7" t="s">
        <v>355</v>
      </c>
      <c r="G176" s="7" t="s">
        <v>166</v>
      </c>
    </row>
    <row r="177" spans="4:7" ht="12.75">
      <c r="D177" s="46" t="s">
        <v>25</v>
      </c>
      <c r="E177" s="46" t="s">
        <v>356</v>
      </c>
      <c r="F177" s="46" t="s">
        <v>162</v>
      </c>
      <c r="G177" s="46" t="s">
        <v>165</v>
      </c>
    </row>
    <row r="178" spans="4:6" ht="12.75">
      <c r="D178">
        <v>0</v>
      </c>
      <c r="E178" s="23">
        <f>H75*-1</f>
        <v>-840000.0000000001</v>
      </c>
      <c r="F178" s="23">
        <f>E178</f>
        <v>-840000.0000000001</v>
      </c>
    </row>
    <row r="179" spans="4:7" ht="12.75">
      <c r="D179">
        <v>1</v>
      </c>
      <c r="E179" s="23">
        <f>G158</f>
        <v>177500</v>
      </c>
      <c r="F179" s="23">
        <f>E179/(1+$H$114)^D179</f>
        <v>156387.6651982379</v>
      </c>
      <c r="G179" s="23">
        <f>SUM($F$178:F179)</f>
        <v>-683612.3348017622</v>
      </c>
    </row>
    <row r="180" spans="4:7" ht="12.75">
      <c r="D180">
        <v>2</v>
      </c>
      <c r="E180" s="23">
        <f aca="true" t="shared" si="11" ref="E180:E188">G159</f>
        <v>279740</v>
      </c>
      <c r="F180" s="23">
        <f aca="true" t="shared" si="12" ref="F180:F188">E180/(1+$H$114)^D180</f>
        <v>217151.5069184343</v>
      </c>
      <c r="G180" s="23">
        <f>SUM($F$178:F180)</f>
        <v>-466460.82788332796</v>
      </c>
    </row>
    <row r="181" spans="4:7" ht="12.75">
      <c r="D181">
        <v>3</v>
      </c>
      <c r="E181" s="23">
        <f t="shared" si="11"/>
        <v>286497.5</v>
      </c>
      <c r="F181" s="23">
        <f t="shared" si="12"/>
        <v>195944.57866119273</v>
      </c>
      <c r="G181" s="23">
        <f>SUM($F$178:F181)</f>
        <v>-270516.24922213523</v>
      </c>
    </row>
    <row r="182" spans="4:7" ht="12.75">
      <c r="D182">
        <v>4</v>
      </c>
      <c r="E182" s="23">
        <f t="shared" si="11"/>
        <v>304537.5</v>
      </c>
      <c r="F182" s="23">
        <f t="shared" si="12"/>
        <v>183508.98457235418</v>
      </c>
      <c r="G182" s="23">
        <f>SUM($F$178:F182)</f>
        <v>-87007.26464978105</v>
      </c>
    </row>
    <row r="183" spans="4:7" ht="12.75">
      <c r="D183">
        <v>5</v>
      </c>
      <c r="E183" s="23">
        <f t="shared" si="11"/>
        <v>329602.5</v>
      </c>
      <c r="F183" s="23">
        <f t="shared" si="12"/>
        <v>174989.17734901138</v>
      </c>
      <c r="G183" s="23">
        <f>SUM($F$178:F183)</f>
        <v>87981.91269923034</v>
      </c>
    </row>
    <row r="184" spans="4:7" ht="12.75">
      <c r="D184">
        <v>6</v>
      </c>
      <c r="E184" s="23">
        <f t="shared" si="11"/>
        <v>346015</v>
      </c>
      <c r="F184" s="23">
        <f t="shared" si="12"/>
        <v>161852.62858620397</v>
      </c>
      <c r="G184" s="23">
        <f>SUM($F$178:F184)</f>
        <v>249834.5412854343</v>
      </c>
    </row>
    <row r="185" spans="4:7" ht="12.75">
      <c r="D185">
        <v>7</v>
      </c>
      <c r="E185" s="23">
        <f t="shared" si="11"/>
        <v>372202.5</v>
      </c>
      <c r="F185" s="23">
        <f t="shared" si="12"/>
        <v>153393.95854246747</v>
      </c>
      <c r="G185" s="23">
        <f>SUM($F$178:F185)</f>
        <v>403228.4998279018</v>
      </c>
    </row>
    <row r="186" spans="4:7" ht="12.75">
      <c r="D186">
        <v>8</v>
      </c>
      <c r="E186" s="23">
        <f t="shared" si="11"/>
        <v>405175</v>
      </c>
      <c r="F186" s="23">
        <f t="shared" si="12"/>
        <v>147121.36598335006</v>
      </c>
      <c r="G186" s="23">
        <f>SUM($F$178:F186)</f>
        <v>550349.8658112518</v>
      </c>
    </row>
    <row r="187" spans="4:7" ht="12.75">
      <c r="D187">
        <v>9</v>
      </c>
      <c r="E187" s="23">
        <f t="shared" si="11"/>
        <v>433155</v>
      </c>
      <c r="F187" s="23">
        <f t="shared" si="12"/>
        <v>138573.62505300884</v>
      </c>
      <c r="G187" s="23">
        <f>SUM($F$178:F187)</f>
        <v>688923.4908642606</v>
      </c>
    </row>
    <row r="188" spans="4:7" ht="12.75">
      <c r="D188">
        <v>10</v>
      </c>
      <c r="E188" s="23">
        <f t="shared" si="11"/>
        <v>461212.5</v>
      </c>
      <c r="F188" s="23">
        <f t="shared" si="12"/>
        <v>129999.73108843966</v>
      </c>
      <c r="G188" s="23">
        <f>SUM($F$178:F188)</f>
        <v>818923.2219527003</v>
      </c>
    </row>
    <row r="189" spans="4:6" ht="12.75">
      <c r="D189" t="s">
        <v>159</v>
      </c>
      <c r="F189" s="23">
        <f>SUM(F178:F188)</f>
        <v>818923.2219527003</v>
      </c>
    </row>
    <row r="191" spans="3:7" ht="12.75">
      <c r="C191" s="11" t="s">
        <v>159</v>
      </c>
      <c r="F191" s="43">
        <f>NPV(H114,E179:E188)+E178</f>
        <v>818923.2219527002</v>
      </c>
      <c r="G191" t="s">
        <v>0</v>
      </c>
    </row>
    <row r="192" spans="3:6" ht="12.75">
      <c r="C192" s="11" t="s">
        <v>163</v>
      </c>
      <c r="F192" s="39">
        <f>MIRR(E178:E188,,H115)</f>
        <v>0.1657634989973482</v>
      </c>
    </row>
    <row r="193" spans="3:6" ht="12.75">
      <c r="C193" s="11" t="s">
        <v>168</v>
      </c>
      <c r="F193" s="42">
        <f>5+((G182*-1)/F183)</f>
        <v>5.497215119059891</v>
      </c>
    </row>
  </sheetData>
  <mergeCells count="1">
    <mergeCell ref="D156:F156"/>
  </mergeCells>
  <conditionalFormatting sqref="I151">
    <cfRule type="cellIs" priority="1" dxfId="0" operator="notEqual" stopIfTrue="1">
      <formula>$G$151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L222"/>
  <sheetViews>
    <sheetView workbookViewId="0" topLeftCell="A2">
      <selection activeCell="D14" sqref="D14"/>
    </sheetView>
  </sheetViews>
  <sheetFormatPr defaultColWidth="9.140625" defaultRowHeight="12.75"/>
  <cols>
    <col min="1" max="1" width="9.7109375" style="0" customWidth="1"/>
    <col min="2" max="2" width="13.7109375" style="0" customWidth="1"/>
    <col min="3" max="3" width="10.140625" style="0" customWidth="1"/>
    <col min="4" max="4" width="10.7109375" style="0" customWidth="1"/>
    <col min="5" max="5" width="10.421875" style="0" customWidth="1"/>
    <col min="6" max="6" width="10.8515625" style="0" customWidth="1"/>
    <col min="7" max="7" width="10.57421875" style="0" customWidth="1"/>
    <col min="8" max="8" width="10.421875" style="0" customWidth="1"/>
    <col min="9" max="9" width="13.57421875" style="0" customWidth="1"/>
    <col min="10" max="10" width="10.57421875" style="0" customWidth="1"/>
    <col min="11" max="11" width="10.7109375" style="0" customWidth="1"/>
    <col min="12" max="12" width="10.8515625" style="0" customWidth="1"/>
  </cols>
  <sheetData>
    <row r="1" ht="18">
      <c r="C1" s="1" t="s">
        <v>4</v>
      </c>
    </row>
    <row r="2" ht="18">
      <c r="C2" s="1" t="str">
        <f>'Lead Worksheet'!C2</f>
        <v>Medical Services USA</v>
      </c>
    </row>
    <row r="3" spans="2:5" ht="18">
      <c r="B3" s="8" t="str">
        <f>'Lead Worksheet'!B49</f>
        <v>F</v>
      </c>
      <c r="C3" s="1" t="str">
        <f>'Lead Worksheet'!C49</f>
        <v>Regulatory Compliance NE</v>
      </c>
      <c r="D3" s="1"/>
      <c r="E3" s="1"/>
    </row>
    <row r="5" spans="2:9" ht="12.75">
      <c r="B5" s="12" t="s">
        <v>91</v>
      </c>
      <c r="C5" s="13"/>
      <c r="D5" s="13"/>
      <c r="E5" s="13"/>
      <c r="F5" s="13"/>
      <c r="G5" s="13"/>
      <c r="H5" s="13"/>
      <c r="I5" s="13"/>
    </row>
    <row r="7" spans="2:9" ht="12.75">
      <c r="B7" t="s">
        <v>92</v>
      </c>
      <c r="D7" s="3" t="s">
        <v>476</v>
      </c>
      <c r="E7" s="3"/>
      <c r="F7" s="3"/>
      <c r="G7" s="3"/>
      <c r="H7" s="3"/>
      <c r="I7" s="3"/>
    </row>
    <row r="8" spans="2:9" ht="12.75">
      <c r="B8" t="s">
        <v>258</v>
      </c>
      <c r="D8" s="3" t="s">
        <v>615</v>
      </c>
      <c r="E8" s="3"/>
      <c r="F8" s="3"/>
      <c r="G8" s="3"/>
      <c r="H8" s="3"/>
      <c r="I8" s="3"/>
    </row>
    <row r="9" spans="2:9" ht="12.75">
      <c r="B9" t="s">
        <v>93</v>
      </c>
      <c r="D9" s="3" t="s">
        <v>472</v>
      </c>
      <c r="E9" s="3"/>
      <c r="F9" s="3"/>
      <c r="G9" s="3"/>
      <c r="H9" s="3"/>
      <c r="I9" s="3"/>
    </row>
    <row r="10" spans="2:9" ht="12.75">
      <c r="B10" t="s">
        <v>94</v>
      </c>
      <c r="E10" s="3" t="s">
        <v>303</v>
      </c>
      <c r="F10" s="3"/>
      <c r="G10" s="3"/>
      <c r="H10" s="3"/>
      <c r="I10" s="3"/>
    </row>
    <row r="11" spans="2:9" ht="12.75">
      <c r="B11" t="s">
        <v>95</v>
      </c>
      <c r="E11" s="3" t="s">
        <v>303</v>
      </c>
      <c r="F11" s="3"/>
      <c r="G11" s="3"/>
      <c r="H11" s="3"/>
      <c r="I11" s="3"/>
    </row>
    <row r="12" spans="2:9" ht="12.75">
      <c r="B12" t="s">
        <v>96</v>
      </c>
      <c r="E12" s="3" t="s">
        <v>468</v>
      </c>
      <c r="F12" s="3"/>
      <c r="G12" s="3"/>
      <c r="H12" s="3"/>
      <c r="I12" s="3"/>
    </row>
    <row r="13" spans="2:5" ht="12.75">
      <c r="B13" t="s">
        <v>97</v>
      </c>
      <c r="E13" s="20">
        <v>33604</v>
      </c>
    </row>
    <row r="14" spans="2:6" ht="12.75">
      <c r="B14" t="s">
        <v>460</v>
      </c>
      <c r="D14" s="79">
        <v>9</v>
      </c>
      <c r="E14" s="3"/>
      <c r="F14" t="s">
        <v>0</v>
      </c>
    </row>
    <row r="15" spans="2:5" ht="12.75">
      <c r="B15" t="s">
        <v>461</v>
      </c>
      <c r="D15" s="79" t="s">
        <v>11</v>
      </c>
      <c r="E15" s="3"/>
    </row>
    <row r="16" spans="2:6" ht="12.75">
      <c r="B16" t="s">
        <v>462</v>
      </c>
      <c r="D16" s="79">
        <v>2</v>
      </c>
      <c r="E16" s="3"/>
      <c r="F16" t="s">
        <v>0</v>
      </c>
    </row>
    <row r="17" ht="12.75">
      <c r="D17" s="22"/>
    </row>
    <row r="18" ht="12.75">
      <c r="B18" t="s">
        <v>0</v>
      </c>
    </row>
    <row r="19" spans="2:9" ht="12.75">
      <c r="B19" s="12" t="s">
        <v>31</v>
      </c>
      <c r="C19" s="13"/>
      <c r="D19" s="13"/>
      <c r="E19" s="13"/>
      <c r="F19" s="13"/>
      <c r="G19" s="13"/>
      <c r="H19" s="13"/>
      <c r="I19" s="13"/>
    </row>
    <row r="21" spans="2:4" ht="12.75">
      <c r="B21" s="6" t="s">
        <v>32</v>
      </c>
      <c r="C21" s="6"/>
      <c r="D21" s="6"/>
    </row>
    <row r="22" spans="2:4" ht="12.75">
      <c r="B22" s="6" t="s">
        <v>33</v>
      </c>
      <c r="C22" s="6"/>
      <c r="D22" s="6"/>
    </row>
    <row r="23" spans="2:4" ht="12.75">
      <c r="B23" s="6" t="s">
        <v>34</v>
      </c>
      <c r="C23" s="6"/>
      <c r="D23" s="6"/>
    </row>
    <row r="25" spans="2:9" ht="12.75">
      <c r="B25" s="6" t="s">
        <v>35</v>
      </c>
      <c r="I25" s="14"/>
    </row>
    <row r="26" spans="2:9" ht="12.75">
      <c r="B26" s="16" t="s">
        <v>37</v>
      </c>
      <c r="C26" s="6" t="s">
        <v>36</v>
      </c>
      <c r="D26" s="6"/>
      <c r="E26" s="6"/>
      <c r="F26" s="6"/>
      <c r="G26" s="6"/>
      <c r="I26" s="15">
        <v>2</v>
      </c>
    </row>
    <row r="27" spans="2:9" ht="12.75">
      <c r="B27" s="16" t="s">
        <v>38</v>
      </c>
      <c r="C27" s="6" t="s">
        <v>39</v>
      </c>
      <c r="D27" s="6"/>
      <c r="E27" s="6"/>
      <c r="F27" s="6"/>
      <c r="G27" s="6"/>
      <c r="I27" s="15">
        <v>3</v>
      </c>
    </row>
    <row r="28" spans="2:9" ht="12.75">
      <c r="B28" s="16" t="s">
        <v>43</v>
      </c>
      <c r="C28" s="6" t="s">
        <v>40</v>
      </c>
      <c r="D28" s="6"/>
      <c r="E28" s="6"/>
      <c r="F28" s="6"/>
      <c r="G28" s="6"/>
      <c r="I28" s="15">
        <v>4</v>
      </c>
    </row>
    <row r="29" spans="2:9" ht="12.75">
      <c r="B29" s="16" t="s">
        <v>44</v>
      </c>
      <c r="C29" s="6" t="s">
        <v>41</v>
      </c>
      <c r="D29" s="6"/>
      <c r="E29" s="6"/>
      <c r="F29" s="6"/>
      <c r="G29" s="6"/>
      <c r="I29" s="15">
        <v>3</v>
      </c>
    </row>
    <row r="30" spans="2:9" ht="12.75">
      <c r="B30" s="16" t="s">
        <v>45</v>
      </c>
      <c r="C30" s="6" t="s">
        <v>42</v>
      </c>
      <c r="D30" s="6"/>
      <c r="E30" s="6"/>
      <c r="F30" s="6"/>
      <c r="G30" s="6"/>
      <c r="I30" s="15">
        <v>0</v>
      </c>
    </row>
    <row r="31" spans="2:9" ht="12.75">
      <c r="B31" s="16" t="s">
        <v>46</v>
      </c>
      <c r="C31" s="6" t="s">
        <v>42</v>
      </c>
      <c r="D31" s="6"/>
      <c r="E31" s="6"/>
      <c r="F31" s="6"/>
      <c r="G31" s="6"/>
      <c r="I31" s="15">
        <v>0</v>
      </c>
    </row>
    <row r="32" spans="2:9" ht="12.75">
      <c r="B32" s="16"/>
      <c r="C32" s="6"/>
      <c r="D32" s="6"/>
      <c r="E32" s="6"/>
      <c r="F32" s="6"/>
      <c r="G32" s="6"/>
      <c r="I32" s="14"/>
    </row>
    <row r="33" spans="2:9" ht="12.75">
      <c r="B33" s="17" t="s">
        <v>47</v>
      </c>
      <c r="C33" s="6"/>
      <c r="D33" s="6"/>
      <c r="E33" s="6"/>
      <c r="F33" s="6"/>
      <c r="G33" s="6"/>
      <c r="I33" s="14"/>
    </row>
    <row r="34" spans="2:9" ht="12.75">
      <c r="B34" s="16" t="s">
        <v>48</v>
      </c>
      <c r="C34" s="6" t="s">
        <v>51</v>
      </c>
      <c r="D34" s="6"/>
      <c r="E34" s="6"/>
      <c r="F34" s="6"/>
      <c r="G34" s="6"/>
      <c r="I34" s="15">
        <v>2</v>
      </c>
    </row>
    <row r="35" spans="2:9" ht="12.75">
      <c r="B35" s="16" t="s">
        <v>49</v>
      </c>
      <c r="C35" s="6" t="s">
        <v>52</v>
      </c>
      <c r="D35" s="6"/>
      <c r="E35" s="6"/>
      <c r="F35" s="6"/>
      <c r="G35" s="6"/>
      <c r="I35" s="15">
        <v>3</v>
      </c>
    </row>
    <row r="36" spans="2:9" ht="12.75">
      <c r="B36" s="16" t="s">
        <v>50</v>
      </c>
      <c r="C36" s="6" t="s">
        <v>53</v>
      </c>
      <c r="D36" s="6"/>
      <c r="E36" s="6"/>
      <c r="F36" s="6"/>
      <c r="G36" s="6"/>
      <c r="I36" s="15">
        <v>3</v>
      </c>
    </row>
    <row r="37" spans="2:9" ht="12.75">
      <c r="B37" s="16" t="s">
        <v>56</v>
      </c>
      <c r="C37" s="6" t="s">
        <v>54</v>
      </c>
      <c r="D37" s="6"/>
      <c r="E37" s="6"/>
      <c r="F37" s="6"/>
      <c r="G37" s="6"/>
      <c r="I37" s="15">
        <v>2</v>
      </c>
    </row>
    <row r="38" spans="2:9" ht="12.75">
      <c r="B38" s="16" t="s">
        <v>57</v>
      </c>
      <c r="C38" s="6" t="s">
        <v>55</v>
      </c>
      <c r="D38" s="6"/>
      <c r="E38" s="6"/>
      <c r="F38" s="6"/>
      <c r="G38" s="6"/>
      <c r="I38" s="15">
        <v>0</v>
      </c>
    </row>
    <row r="39" spans="2:9" ht="12.75">
      <c r="B39" s="16" t="s">
        <v>58</v>
      </c>
      <c r="C39" s="6" t="s">
        <v>55</v>
      </c>
      <c r="D39" s="6"/>
      <c r="E39" s="6"/>
      <c r="F39" s="6"/>
      <c r="G39" s="6"/>
      <c r="I39" s="15">
        <v>0</v>
      </c>
    </row>
    <row r="40" spans="2:9" ht="12.75">
      <c r="B40" s="16"/>
      <c r="C40" s="6"/>
      <c r="D40" s="6"/>
      <c r="E40" s="6"/>
      <c r="F40" s="6"/>
      <c r="G40" s="6"/>
      <c r="I40" s="18"/>
    </row>
    <row r="41" spans="2:9" ht="12.75">
      <c r="B41" s="17" t="s">
        <v>74</v>
      </c>
      <c r="C41" s="6"/>
      <c r="D41" s="6"/>
      <c r="E41" s="6"/>
      <c r="F41" s="6"/>
      <c r="G41" s="6"/>
      <c r="I41" s="18"/>
    </row>
    <row r="42" spans="2:9" ht="12.75">
      <c r="B42" s="16" t="s">
        <v>75</v>
      </c>
      <c r="C42" s="6" t="s">
        <v>77</v>
      </c>
      <c r="D42" s="6"/>
      <c r="E42" s="6"/>
      <c r="F42" s="6"/>
      <c r="G42" s="6"/>
      <c r="I42" s="15">
        <v>3</v>
      </c>
    </row>
    <row r="43" spans="2:9" ht="12.75">
      <c r="B43" s="16" t="s">
        <v>81</v>
      </c>
      <c r="C43" s="6" t="s">
        <v>78</v>
      </c>
      <c r="D43" s="6"/>
      <c r="E43" s="6"/>
      <c r="F43" s="6"/>
      <c r="G43" s="6"/>
      <c r="I43" s="15">
        <v>1</v>
      </c>
    </row>
    <row r="44" spans="2:9" ht="12.75">
      <c r="B44" s="16" t="s">
        <v>82</v>
      </c>
      <c r="C44" s="6" t="s">
        <v>79</v>
      </c>
      <c r="D44" s="6"/>
      <c r="E44" s="6"/>
      <c r="F44" s="6"/>
      <c r="G44" s="6"/>
      <c r="I44" s="15">
        <v>0</v>
      </c>
    </row>
    <row r="45" spans="2:9" ht="12.75">
      <c r="B45" s="16" t="s">
        <v>83</v>
      </c>
      <c r="C45" s="6" t="s">
        <v>80</v>
      </c>
      <c r="D45" s="6"/>
      <c r="E45" s="6"/>
      <c r="F45" s="6"/>
      <c r="G45" s="6"/>
      <c r="I45" s="15">
        <v>0</v>
      </c>
    </row>
    <row r="46" spans="2:9" ht="12.75">
      <c r="B46" s="16" t="s">
        <v>85</v>
      </c>
      <c r="C46" s="6" t="s">
        <v>84</v>
      </c>
      <c r="D46" s="6"/>
      <c r="E46" s="6"/>
      <c r="F46" s="6"/>
      <c r="G46" s="6"/>
      <c r="I46" s="15">
        <v>0</v>
      </c>
    </row>
    <row r="47" spans="2:9" ht="12.75">
      <c r="B47" s="16"/>
      <c r="C47" s="6"/>
      <c r="D47" s="6"/>
      <c r="E47" s="6"/>
      <c r="F47" s="6"/>
      <c r="G47" s="6"/>
      <c r="I47" s="14"/>
    </row>
    <row r="48" spans="2:9" ht="12.75">
      <c r="B48" s="17" t="s">
        <v>59</v>
      </c>
      <c r="C48" s="6"/>
      <c r="D48" s="6"/>
      <c r="E48" s="6"/>
      <c r="F48" s="6"/>
      <c r="G48" s="6"/>
      <c r="I48" s="14"/>
    </row>
    <row r="49" spans="2:9" ht="12.75">
      <c r="B49" s="16" t="s">
        <v>60</v>
      </c>
      <c r="C49" s="6" t="s">
        <v>61</v>
      </c>
      <c r="D49" s="6"/>
      <c r="E49" s="6"/>
      <c r="F49" s="6"/>
      <c r="G49" s="6"/>
      <c r="I49" s="15">
        <v>0</v>
      </c>
    </row>
    <row r="50" spans="2:9" ht="12.75">
      <c r="B50" s="16" t="s">
        <v>65</v>
      </c>
      <c r="C50" s="6" t="s">
        <v>62</v>
      </c>
      <c r="D50" s="6"/>
      <c r="E50" s="6"/>
      <c r="F50" s="6"/>
      <c r="G50" s="6"/>
      <c r="I50" s="15">
        <v>0</v>
      </c>
    </row>
    <row r="51" spans="2:9" ht="12.75">
      <c r="B51" s="16" t="s">
        <v>66</v>
      </c>
      <c r="C51" s="6" t="s">
        <v>63</v>
      </c>
      <c r="D51" s="6"/>
      <c r="E51" s="6"/>
      <c r="F51" s="6"/>
      <c r="G51" s="6"/>
      <c r="I51" s="15">
        <v>5</v>
      </c>
    </row>
    <row r="52" spans="2:9" ht="12.75">
      <c r="B52" s="16" t="s">
        <v>67</v>
      </c>
      <c r="C52" s="6" t="s">
        <v>72</v>
      </c>
      <c r="D52" s="6"/>
      <c r="E52" s="6"/>
      <c r="F52" s="6"/>
      <c r="G52" s="6"/>
      <c r="I52" s="15">
        <v>2</v>
      </c>
    </row>
    <row r="53" spans="2:9" ht="12.75">
      <c r="B53" s="16" t="s">
        <v>68</v>
      </c>
      <c r="C53" s="6" t="s">
        <v>107</v>
      </c>
      <c r="D53" s="6"/>
      <c r="E53" s="6"/>
      <c r="F53" s="6"/>
      <c r="G53" s="6"/>
      <c r="I53" s="15">
        <v>1</v>
      </c>
    </row>
    <row r="54" spans="2:9" ht="12.75">
      <c r="B54" s="16" t="s">
        <v>69</v>
      </c>
      <c r="C54" s="6" t="s">
        <v>64</v>
      </c>
      <c r="D54" s="6"/>
      <c r="E54" s="6"/>
      <c r="F54" s="6"/>
      <c r="G54" s="6"/>
      <c r="I54" s="15">
        <v>0</v>
      </c>
    </row>
    <row r="55" spans="2:9" ht="12.75">
      <c r="B55" s="16" t="s">
        <v>71</v>
      </c>
      <c r="C55" s="6" t="s">
        <v>64</v>
      </c>
      <c r="I55" s="15">
        <v>0</v>
      </c>
    </row>
    <row r="56" spans="2:9" ht="12.75">
      <c r="B56" s="16" t="s">
        <v>76</v>
      </c>
      <c r="C56" s="6" t="s">
        <v>64</v>
      </c>
      <c r="I56" s="15">
        <v>0</v>
      </c>
    </row>
    <row r="57" ht="12.75">
      <c r="I57" s="14"/>
    </row>
    <row r="58" spans="6:9" ht="12.75">
      <c r="F58" t="s">
        <v>70</v>
      </c>
      <c r="I58" s="14">
        <f>SUM(I26:I56)</f>
        <v>34</v>
      </c>
    </row>
    <row r="59" ht="12.75">
      <c r="I59" s="14"/>
    </row>
    <row r="60" spans="2:9" ht="12.75">
      <c r="B60" s="6" t="s">
        <v>86</v>
      </c>
      <c r="C60" s="6"/>
      <c r="I60" s="14"/>
    </row>
    <row r="61" spans="2:9" ht="12.75">
      <c r="B61" s="6" t="s">
        <v>87</v>
      </c>
      <c r="C61" s="6"/>
      <c r="I61" s="14"/>
    </row>
    <row r="62" spans="2:9" ht="12.75">
      <c r="B62" s="6" t="s">
        <v>88</v>
      </c>
      <c r="C62" s="6"/>
      <c r="I62" s="14"/>
    </row>
    <row r="63" spans="2:9" ht="12.75">
      <c r="B63" s="6" t="s">
        <v>73</v>
      </c>
      <c r="C63" s="6"/>
      <c r="I63" s="14"/>
    </row>
    <row r="64" ht="12.75">
      <c r="I64" s="14"/>
    </row>
    <row r="65" spans="2:9" ht="12.75">
      <c r="B65" s="12" t="s">
        <v>347</v>
      </c>
      <c r="C65" s="13"/>
      <c r="D65" s="13"/>
      <c r="E65" s="13"/>
      <c r="F65" s="13"/>
      <c r="G65" s="13"/>
      <c r="H65" s="13"/>
      <c r="I65" s="19"/>
    </row>
    <row r="66" spans="2:9" ht="12.75">
      <c r="B66" s="62"/>
      <c r="C66" s="63"/>
      <c r="D66" s="63"/>
      <c r="E66" s="63"/>
      <c r="F66" s="63"/>
      <c r="G66" s="63"/>
      <c r="H66" s="63"/>
      <c r="I66" s="64"/>
    </row>
    <row r="67" ht="12.75">
      <c r="B67" t="s">
        <v>471</v>
      </c>
    </row>
    <row r="68" ht="12.75">
      <c r="B68" t="s">
        <v>469</v>
      </c>
    </row>
    <row r="69" ht="12.75">
      <c r="B69" t="s">
        <v>470</v>
      </c>
    </row>
    <row r="70" ht="12.75">
      <c r="B70" t="s">
        <v>482</v>
      </c>
    </row>
    <row r="71" ht="12.75">
      <c r="B71" t="s">
        <v>498</v>
      </c>
    </row>
    <row r="72" ht="12.75">
      <c r="B72" t="s">
        <v>529</v>
      </c>
    </row>
    <row r="74" spans="2:9" ht="12.75">
      <c r="B74" s="12" t="s">
        <v>505</v>
      </c>
      <c r="C74" s="13"/>
      <c r="D74" s="13"/>
      <c r="E74" s="13"/>
      <c r="F74" s="13"/>
      <c r="G74" s="13"/>
      <c r="H74" s="13"/>
      <c r="I74" s="13"/>
    </row>
    <row r="76" spans="2:8" ht="12.75">
      <c r="B76" s="7" t="s">
        <v>0</v>
      </c>
      <c r="C76" s="7" t="s">
        <v>497</v>
      </c>
      <c r="D76" s="7"/>
      <c r="E76" s="7"/>
      <c r="F76" s="7"/>
      <c r="G76" s="7"/>
      <c r="H76" s="7"/>
    </row>
    <row r="77" spans="2:10" ht="12.75">
      <c r="B77" s="7"/>
      <c r="C77" s="7" t="s">
        <v>405</v>
      </c>
      <c r="D77" s="7" t="s">
        <v>501</v>
      </c>
      <c r="E77" s="7" t="s">
        <v>373</v>
      </c>
      <c r="F77" s="7" t="s">
        <v>503</v>
      </c>
      <c r="G77" s="7" t="s">
        <v>359</v>
      </c>
      <c r="H77" s="7" t="s">
        <v>504</v>
      </c>
      <c r="I77" s="7" t="s">
        <v>355</v>
      </c>
      <c r="J77" s="7" t="s">
        <v>355</v>
      </c>
    </row>
    <row r="78" spans="2:10" ht="12.75">
      <c r="B78" s="7" t="s">
        <v>496</v>
      </c>
      <c r="C78" s="7" t="s">
        <v>322</v>
      </c>
      <c r="D78" s="7" t="s">
        <v>374</v>
      </c>
      <c r="E78" s="7" t="s">
        <v>374</v>
      </c>
      <c r="F78" s="7" t="s">
        <v>22</v>
      </c>
      <c r="G78" s="7" t="s">
        <v>502</v>
      </c>
      <c r="H78" s="7" t="s">
        <v>285</v>
      </c>
      <c r="I78" s="7" t="s">
        <v>162</v>
      </c>
      <c r="J78" s="7" t="s">
        <v>162</v>
      </c>
    </row>
    <row r="79" spans="1:10" ht="12.75">
      <c r="A79" s="22" t="s">
        <v>0</v>
      </c>
      <c r="B79" s="85" t="s">
        <v>0</v>
      </c>
      <c r="D79" s="38" t="s">
        <v>0</v>
      </c>
      <c r="E79" s="38"/>
      <c r="F79" s="38"/>
      <c r="G79" s="38"/>
      <c r="H79" s="38" t="s">
        <v>0</v>
      </c>
      <c r="I79" s="90" t="s">
        <v>530</v>
      </c>
      <c r="J79" s="7" t="s">
        <v>531</v>
      </c>
    </row>
    <row r="80" spans="1:10" ht="12.75">
      <c r="A80">
        <v>1</v>
      </c>
      <c r="B80" s="85">
        <v>33634</v>
      </c>
      <c r="C80" s="38">
        <v>35200</v>
      </c>
      <c r="D80" s="38">
        <v>-16000</v>
      </c>
      <c r="E80" s="38">
        <v>-3500</v>
      </c>
      <c r="F80" s="38">
        <v>-2500</v>
      </c>
      <c r="G80" s="38">
        <f>SUM(D80:F80)</f>
        <v>-22000</v>
      </c>
      <c r="H80" s="38">
        <f>SUM(C80:F80)</f>
        <v>13200</v>
      </c>
      <c r="I80" s="23">
        <f>H80/(1+$I$109)^A80</f>
        <v>13128.885205138831</v>
      </c>
      <c r="J80" s="38">
        <f>NPV($I$109,H80)</f>
        <v>13128.885205138831</v>
      </c>
    </row>
    <row r="81" spans="1:10" ht="12.75">
      <c r="A81">
        <v>2</v>
      </c>
      <c r="B81" s="85">
        <v>33662</v>
      </c>
      <c r="C81" s="38">
        <v>39400</v>
      </c>
      <c r="D81" s="38">
        <v>-5000</v>
      </c>
      <c r="E81" s="38">
        <v>-3500</v>
      </c>
      <c r="F81" s="38">
        <v>-2000</v>
      </c>
      <c r="G81" s="38">
        <f aca="true" t="shared" si="0" ref="G81:G104">SUM(D81:F81)</f>
        <v>-10500</v>
      </c>
      <c r="H81" s="38">
        <f>SUM(C81:F81)</f>
        <v>28900</v>
      </c>
      <c r="I81" s="23">
        <f aca="true" t="shared" si="1" ref="I81:I104">H81/(1+$I$109)^A81</f>
        <v>28589.44222043569</v>
      </c>
      <c r="J81" s="38">
        <f>NPV(($I$109*A81),H81)</f>
        <v>28590.27205276175</v>
      </c>
    </row>
    <row r="82" spans="1:10" ht="12.75">
      <c r="A82">
        <v>3</v>
      </c>
      <c r="B82" s="85">
        <v>33694</v>
      </c>
      <c r="C82" s="38">
        <v>41000</v>
      </c>
      <c r="D82" s="38">
        <v>-3500</v>
      </c>
      <c r="E82" s="38">
        <v>-3500</v>
      </c>
      <c r="F82" s="38">
        <v>-2000</v>
      </c>
      <c r="G82" s="38">
        <f t="shared" si="0"/>
        <v>-9000</v>
      </c>
      <c r="H82" s="38">
        <f aca="true" t="shared" si="2" ref="H82:H104">SUM(C82:F82)</f>
        <v>32000</v>
      </c>
      <c r="I82" s="23">
        <f t="shared" si="1"/>
        <v>31485.58288694974</v>
      </c>
      <c r="J82" s="38">
        <f aca="true" t="shared" si="3" ref="J82:J104">NPV(($I$109*A82),H82)</f>
        <v>31488.31488314883</v>
      </c>
    </row>
    <row r="83" spans="1:10" ht="12.75">
      <c r="A83">
        <v>4</v>
      </c>
      <c r="B83" s="85">
        <v>33724</v>
      </c>
      <c r="C83" s="38">
        <v>42550</v>
      </c>
      <c r="D83" s="38">
        <v>-1500</v>
      </c>
      <c r="E83" s="38">
        <v>-4000</v>
      </c>
      <c r="F83" s="38">
        <v>-1750</v>
      </c>
      <c r="G83" s="38">
        <f t="shared" si="0"/>
        <v>-7250</v>
      </c>
      <c r="H83" s="38">
        <f t="shared" si="2"/>
        <v>35300</v>
      </c>
      <c r="I83" s="23">
        <f t="shared" si="1"/>
        <v>34545.412637049085</v>
      </c>
      <c r="J83" s="38">
        <f t="shared" si="3"/>
        <v>34551.38662316476</v>
      </c>
    </row>
    <row r="84" spans="1:10" ht="12.75">
      <c r="A84">
        <v>5</v>
      </c>
      <c r="B84" s="85">
        <v>33755</v>
      </c>
      <c r="C84" s="38">
        <v>43990</v>
      </c>
      <c r="D84" s="38">
        <v>-1500</v>
      </c>
      <c r="E84" s="38">
        <v>-4000</v>
      </c>
      <c r="F84" s="38">
        <v>-1750</v>
      </c>
      <c r="G84" s="38">
        <f t="shared" si="0"/>
        <v>-7250</v>
      </c>
      <c r="H84" s="38">
        <f t="shared" si="2"/>
        <v>36740</v>
      </c>
      <c r="I84" s="23">
        <f t="shared" si="1"/>
        <v>35760.925589370614</v>
      </c>
      <c r="J84" s="38">
        <f t="shared" si="3"/>
        <v>35771.19675456389</v>
      </c>
    </row>
    <row r="85" spans="1:10" ht="12.75">
      <c r="A85">
        <v>6</v>
      </c>
      <c r="B85" s="85">
        <v>33785</v>
      </c>
      <c r="C85" s="38">
        <v>44550</v>
      </c>
      <c r="D85" s="38">
        <v>-2000</v>
      </c>
      <c r="E85" s="38">
        <v>-4000</v>
      </c>
      <c r="F85" s="38">
        <v>-1750</v>
      </c>
      <c r="G85" s="38">
        <f t="shared" si="0"/>
        <v>-7750</v>
      </c>
      <c r="H85" s="38">
        <f t="shared" si="2"/>
        <v>36800</v>
      </c>
      <c r="I85" s="23">
        <f t="shared" si="1"/>
        <v>35626.350599707184</v>
      </c>
      <c r="J85" s="38">
        <f t="shared" si="3"/>
        <v>35641.64648910412</v>
      </c>
    </row>
    <row r="86" spans="1:10" ht="12.75">
      <c r="A86">
        <v>7</v>
      </c>
      <c r="B86" s="85">
        <v>33816</v>
      </c>
      <c r="C86" s="38">
        <v>45100</v>
      </c>
      <c r="D86" s="38"/>
      <c r="E86" s="38">
        <v>-4500</v>
      </c>
      <c r="F86" s="38">
        <v>-1650</v>
      </c>
      <c r="G86" s="38">
        <f t="shared" si="0"/>
        <v>-6150</v>
      </c>
      <c r="H86" s="38">
        <f t="shared" si="2"/>
        <v>38950</v>
      </c>
      <c r="I86" s="23">
        <f t="shared" si="1"/>
        <v>37504.631322868736</v>
      </c>
      <c r="J86" s="38">
        <f t="shared" si="3"/>
        <v>37527.09755118426</v>
      </c>
    </row>
    <row r="87" spans="1:10" ht="12.75">
      <c r="A87">
        <v>8</v>
      </c>
      <c r="B87" s="85">
        <v>33847</v>
      </c>
      <c r="C87" s="38">
        <v>46990</v>
      </c>
      <c r="D87" s="38"/>
      <c r="E87" s="38">
        <v>-4500</v>
      </c>
      <c r="F87" s="38">
        <v>-1650</v>
      </c>
      <c r="G87" s="38">
        <f t="shared" si="0"/>
        <v>-6150</v>
      </c>
      <c r="H87" s="38">
        <f t="shared" si="2"/>
        <v>40840</v>
      </c>
      <c r="I87" s="23">
        <f t="shared" si="1"/>
        <v>39112.63650245278</v>
      </c>
      <c r="J87" s="38">
        <f t="shared" si="3"/>
        <v>39143.769968051114</v>
      </c>
    </row>
    <row r="88" spans="1:10" ht="12.75">
      <c r="A88">
        <v>9</v>
      </c>
      <c r="B88" s="85">
        <v>33877</v>
      </c>
      <c r="C88" s="38">
        <v>47800</v>
      </c>
      <c r="D88" s="38"/>
      <c r="E88" s="38">
        <v>-4500</v>
      </c>
      <c r="F88" s="38">
        <v>-1650</v>
      </c>
      <c r="G88" s="38">
        <f t="shared" si="0"/>
        <v>-6150</v>
      </c>
      <c r="H88" s="38">
        <f t="shared" si="2"/>
        <v>41650</v>
      </c>
      <c r="I88" s="23">
        <f t="shared" si="1"/>
        <v>39673.478834094254</v>
      </c>
      <c r="J88" s="38">
        <f t="shared" si="3"/>
        <v>39713.94517282479</v>
      </c>
    </row>
    <row r="89" spans="1:10" ht="12.75">
      <c r="A89">
        <v>10</v>
      </c>
      <c r="B89" s="85">
        <v>33908</v>
      </c>
      <c r="C89" s="38">
        <v>48650</v>
      </c>
      <c r="D89" s="38"/>
      <c r="E89" s="38">
        <v>-5100</v>
      </c>
      <c r="F89" s="38">
        <v>-1500</v>
      </c>
      <c r="G89" s="38">
        <f t="shared" si="0"/>
        <v>-6600</v>
      </c>
      <c r="H89" s="38">
        <f t="shared" si="2"/>
        <v>42050</v>
      </c>
      <c r="I89" s="23">
        <f t="shared" si="1"/>
        <v>39838.70365986553</v>
      </c>
      <c r="J89" s="38">
        <f t="shared" si="3"/>
        <v>39889.328063241104</v>
      </c>
    </row>
    <row r="90" spans="1:10" ht="12.75">
      <c r="A90">
        <v>11</v>
      </c>
      <c r="B90" s="85">
        <v>33938</v>
      </c>
      <c r="C90" s="38">
        <v>49280</v>
      </c>
      <c r="D90" s="38"/>
      <c r="E90" s="38">
        <v>-5100</v>
      </c>
      <c r="F90" s="38">
        <v>-1500</v>
      </c>
      <c r="G90" s="38">
        <f t="shared" si="0"/>
        <v>-6600</v>
      </c>
      <c r="H90" s="38">
        <f t="shared" si="2"/>
        <v>42680</v>
      </c>
      <c r="I90" s="23">
        <f t="shared" si="1"/>
        <v>40217.72763057956</v>
      </c>
      <c r="J90" s="38">
        <f t="shared" si="3"/>
        <v>40279.9842705466</v>
      </c>
    </row>
    <row r="91" spans="1:11" ht="12.75">
      <c r="A91">
        <v>12</v>
      </c>
      <c r="B91" s="85">
        <v>33969</v>
      </c>
      <c r="C91" s="38">
        <v>48300</v>
      </c>
      <c r="D91" s="38"/>
      <c r="E91" s="38">
        <v>-5100</v>
      </c>
      <c r="F91" s="38">
        <v>-1500</v>
      </c>
      <c r="G91" s="38">
        <f t="shared" si="0"/>
        <v>-6600</v>
      </c>
      <c r="H91" s="38">
        <f t="shared" si="2"/>
        <v>41700</v>
      </c>
      <c r="I91" s="23">
        <f t="shared" si="1"/>
        <v>39082.5680375124</v>
      </c>
      <c r="J91" s="38">
        <f t="shared" si="3"/>
        <v>39154.92957746479</v>
      </c>
      <c r="K91" s="38" t="s">
        <v>0</v>
      </c>
    </row>
    <row r="92" spans="1:11" ht="12.75">
      <c r="A92" t="s">
        <v>533</v>
      </c>
      <c r="B92" s="85"/>
      <c r="C92" s="38">
        <f>SUM(C80:C91)</f>
        <v>532810</v>
      </c>
      <c r="D92" s="38"/>
      <c r="E92" s="38"/>
      <c r="F92" s="38"/>
      <c r="G92" s="38">
        <f>SUM(G80:G91)</f>
        <v>-102000</v>
      </c>
      <c r="H92" s="38"/>
      <c r="I92" s="23"/>
      <c r="J92" s="38"/>
      <c r="K92" s="38"/>
    </row>
    <row r="93" spans="1:10" ht="12.75">
      <c r="A93">
        <v>13</v>
      </c>
      <c r="B93" s="85">
        <v>34000</v>
      </c>
      <c r="C93" s="38">
        <v>47100</v>
      </c>
      <c r="D93" s="38">
        <v>-10000</v>
      </c>
      <c r="E93" s="38">
        <v>-5800</v>
      </c>
      <c r="F93" s="38">
        <v>-1350</v>
      </c>
      <c r="G93" s="38">
        <f t="shared" si="0"/>
        <v>-17150</v>
      </c>
      <c r="H93" s="38">
        <f t="shared" si="2"/>
        <v>29950</v>
      </c>
      <c r="I93" s="23">
        <f t="shared" si="1"/>
        <v>27918.866636021226</v>
      </c>
      <c r="J93" s="38">
        <f t="shared" si="3"/>
        <v>27979.758660957574</v>
      </c>
    </row>
    <row r="94" spans="1:10" ht="12.75">
      <c r="A94">
        <v>14</v>
      </c>
      <c r="B94" s="85">
        <v>34028</v>
      </c>
      <c r="C94" s="38">
        <v>45500</v>
      </c>
      <c r="D94" s="38">
        <v>-2000</v>
      </c>
      <c r="E94" s="38">
        <v>-5800</v>
      </c>
      <c r="F94" s="38">
        <v>-1350</v>
      </c>
      <c r="G94" s="38">
        <f t="shared" si="0"/>
        <v>-9150</v>
      </c>
      <c r="H94" s="38">
        <f t="shared" si="2"/>
        <v>36350</v>
      </c>
      <c r="I94" s="23">
        <f t="shared" si="1"/>
        <v>33702.2807777639</v>
      </c>
      <c r="J94" s="38">
        <f t="shared" si="3"/>
        <v>33787.76142525174</v>
      </c>
    </row>
    <row r="95" spans="1:10" ht="12.75">
      <c r="A95">
        <v>15</v>
      </c>
      <c r="B95" s="85">
        <v>34059</v>
      </c>
      <c r="C95" s="38">
        <v>44100</v>
      </c>
      <c r="D95" s="38"/>
      <c r="E95" s="38">
        <v>-5800</v>
      </c>
      <c r="F95" s="38">
        <v>-1350</v>
      </c>
      <c r="G95" s="38">
        <f t="shared" si="0"/>
        <v>-7150</v>
      </c>
      <c r="H95" s="38">
        <f t="shared" si="2"/>
        <v>36950</v>
      </c>
      <c r="I95" s="23">
        <f t="shared" si="1"/>
        <v>34074.009470390534</v>
      </c>
      <c r="J95" s="38">
        <f t="shared" si="3"/>
        <v>34173.41040462428</v>
      </c>
    </row>
    <row r="96" spans="1:10" ht="12.75">
      <c r="A96">
        <v>16</v>
      </c>
      <c r="B96" s="85">
        <v>34089</v>
      </c>
      <c r="C96" s="38">
        <v>42400</v>
      </c>
      <c r="D96" s="38"/>
      <c r="E96" s="38">
        <v>-6200</v>
      </c>
      <c r="F96" s="38">
        <v>-1275</v>
      </c>
      <c r="G96" s="38">
        <f t="shared" si="0"/>
        <v>-7475</v>
      </c>
      <c r="H96" s="38">
        <f t="shared" si="2"/>
        <v>34925</v>
      </c>
      <c r="I96" s="23">
        <f t="shared" si="1"/>
        <v>32033.111958489786</v>
      </c>
      <c r="J96" s="38">
        <f t="shared" si="3"/>
        <v>32139.57055214724</v>
      </c>
    </row>
    <row r="97" spans="1:10" ht="12.75">
      <c r="A97">
        <v>17</v>
      </c>
      <c r="B97" s="85">
        <v>34120</v>
      </c>
      <c r="C97" s="38">
        <v>41000</v>
      </c>
      <c r="D97" s="38"/>
      <c r="E97" s="38">
        <v>-6200</v>
      </c>
      <c r="F97" s="38">
        <v>-1275</v>
      </c>
      <c r="G97" s="38">
        <f t="shared" si="0"/>
        <v>-7475</v>
      </c>
      <c r="H97" s="38">
        <f t="shared" si="2"/>
        <v>33525</v>
      </c>
      <c r="I97" s="23">
        <f t="shared" si="1"/>
        <v>30583.37593558737</v>
      </c>
      <c r="J97" s="38">
        <f t="shared" si="3"/>
        <v>30698.206791301032</v>
      </c>
    </row>
    <row r="98" spans="1:10" ht="12.75">
      <c r="A98">
        <v>18</v>
      </c>
      <c r="B98" s="85">
        <v>34150</v>
      </c>
      <c r="C98" s="38">
        <v>39100</v>
      </c>
      <c r="D98" s="38"/>
      <c r="E98" s="38">
        <v>-6200</v>
      </c>
      <c r="F98" s="38">
        <v>-1275</v>
      </c>
      <c r="G98" s="38">
        <f t="shared" si="0"/>
        <v>-7475</v>
      </c>
      <c r="H98" s="38">
        <f t="shared" si="2"/>
        <v>31625</v>
      </c>
      <c r="I98" s="23">
        <f t="shared" si="1"/>
        <v>28694.660490959595</v>
      </c>
      <c r="J98" s="38">
        <f t="shared" si="3"/>
        <v>28815.489749430526</v>
      </c>
    </row>
    <row r="99" spans="1:10" ht="12.75">
      <c r="A99">
        <v>19</v>
      </c>
      <c r="B99" s="85">
        <v>34181</v>
      </c>
      <c r="C99" s="38">
        <v>38500</v>
      </c>
      <c r="D99" s="38"/>
      <c r="E99" s="38">
        <v>-6750</v>
      </c>
      <c r="F99" s="38">
        <v>-1205</v>
      </c>
      <c r="G99" s="38">
        <f t="shared" si="0"/>
        <v>-7955</v>
      </c>
      <c r="H99" s="38">
        <f t="shared" si="2"/>
        <v>30545</v>
      </c>
      <c r="I99" s="23">
        <f t="shared" si="1"/>
        <v>27565.419475486255</v>
      </c>
      <c r="J99" s="38">
        <f t="shared" si="3"/>
        <v>27694.748772194936</v>
      </c>
    </row>
    <row r="100" spans="1:10" ht="12.75">
      <c r="A100">
        <v>20</v>
      </c>
      <c r="B100" s="85">
        <v>34212</v>
      </c>
      <c r="C100" s="38">
        <v>37900</v>
      </c>
      <c r="D100" s="38"/>
      <c r="E100" s="38">
        <v>-6750</v>
      </c>
      <c r="F100" s="38">
        <v>-1205</v>
      </c>
      <c r="G100" s="38">
        <f t="shared" si="0"/>
        <v>-7955</v>
      </c>
      <c r="H100" s="38">
        <f t="shared" si="2"/>
        <v>29945</v>
      </c>
      <c r="I100" s="23">
        <f t="shared" si="1"/>
        <v>26878.356722120956</v>
      </c>
      <c r="J100" s="38">
        <f t="shared" si="3"/>
        <v>27018.045112781954</v>
      </c>
    </row>
    <row r="101" spans="1:10" ht="12.75">
      <c r="A101">
        <v>21</v>
      </c>
      <c r="B101" s="85">
        <v>34242</v>
      </c>
      <c r="C101" s="38">
        <v>37100</v>
      </c>
      <c r="D101" s="38"/>
      <c r="E101" s="38">
        <v>-6750</v>
      </c>
      <c r="F101" s="38">
        <v>-1205</v>
      </c>
      <c r="G101" s="38">
        <f t="shared" si="0"/>
        <v>-7955</v>
      </c>
      <c r="H101" s="38">
        <f t="shared" si="2"/>
        <v>29145</v>
      </c>
      <c r="I101" s="23">
        <f t="shared" si="1"/>
        <v>26019.345952438103</v>
      </c>
      <c r="J101" s="38">
        <f t="shared" si="3"/>
        <v>26168.350168350167</v>
      </c>
    </row>
    <row r="102" spans="1:10" ht="12.75">
      <c r="A102">
        <v>22</v>
      </c>
      <c r="B102" s="85">
        <v>34273</v>
      </c>
      <c r="C102" s="38">
        <v>36800</v>
      </c>
      <c r="D102" s="38"/>
      <c r="E102" s="38">
        <v>-7000</v>
      </c>
      <c r="F102" s="38">
        <v>-1170</v>
      </c>
      <c r="G102" s="38">
        <f t="shared" si="0"/>
        <v>-8170</v>
      </c>
      <c r="H102" s="38">
        <f t="shared" si="2"/>
        <v>28630</v>
      </c>
      <c r="I102" s="23">
        <f t="shared" si="1"/>
        <v>25421.875276914758</v>
      </c>
      <c r="J102" s="38">
        <f t="shared" si="3"/>
        <v>25581.533879374536</v>
      </c>
    </row>
    <row r="103" spans="1:10" ht="12.75">
      <c r="A103">
        <v>23</v>
      </c>
      <c r="B103" s="85">
        <v>34303</v>
      </c>
      <c r="C103" s="38">
        <v>36400</v>
      </c>
      <c r="D103" s="38"/>
      <c r="E103" s="38">
        <v>-7000</v>
      </c>
      <c r="F103" s="38">
        <v>-1170</v>
      </c>
      <c r="G103" s="38">
        <f t="shared" si="0"/>
        <v>-8170</v>
      </c>
      <c r="H103" s="38">
        <f t="shared" si="2"/>
        <v>28230</v>
      </c>
      <c r="I103" s="23">
        <f t="shared" si="1"/>
        <v>24931.650696947137</v>
      </c>
      <c r="J103" s="38">
        <f t="shared" si="3"/>
        <v>25102.63060392738</v>
      </c>
    </row>
    <row r="104" spans="1:11" ht="12.75">
      <c r="A104">
        <v>24</v>
      </c>
      <c r="B104" s="85">
        <v>34334</v>
      </c>
      <c r="C104" s="38">
        <v>36000</v>
      </c>
      <c r="D104" s="38">
        <v>-5000</v>
      </c>
      <c r="E104" s="38">
        <v>-7000</v>
      </c>
      <c r="F104" s="38">
        <v>-1170</v>
      </c>
      <c r="G104" s="38">
        <f t="shared" si="0"/>
        <v>-13170</v>
      </c>
      <c r="H104" s="38">
        <f t="shared" si="2"/>
        <v>22830</v>
      </c>
      <c r="I104" s="23">
        <f t="shared" si="1"/>
        <v>20053.95272283291</v>
      </c>
      <c r="J104" s="38">
        <f t="shared" si="3"/>
        <v>20203.53982300885</v>
      </c>
      <c r="K104" t="s">
        <v>0</v>
      </c>
    </row>
    <row r="105" spans="1:10" ht="12.75">
      <c r="A105" t="s">
        <v>534</v>
      </c>
      <c r="B105" s="85"/>
      <c r="C105" s="38">
        <f>SUM(C93:C104)</f>
        <v>481900</v>
      </c>
      <c r="D105" s="38"/>
      <c r="E105" s="38"/>
      <c r="F105" s="38"/>
      <c r="G105" s="38">
        <f>SUM(G93:G104)</f>
        <v>-109250</v>
      </c>
      <c r="H105" s="38"/>
      <c r="I105" s="23"/>
      <c r="J105" s="38"/>
    </row>
    <row r="106" spans="1:10" ht="12.75">
      <c r="A106" t="s">
        <v>359</v>
      </c>
      <c r="B106" s="85"/>
      <c r="C106" s="38">
        <f>SUM(C105,C92)</f>
        <v>1014710</v>
      </c>
      <c r="D106" s="38"/>
      <c r="E106" s="38"/>
      <c r="F106" s="38" t="s">
        <v>0</v>
      </c>
      <c r="G106" s="38">
        <f>SUM(G105,G92)</f>
        <v>-211250</v>
      </c>
      <c r="H106" s="38" t="s">
        <v>0</v>
      </c>
      <c r="I106" s="25">
        <f>SUM(I79:I104)</f>
        <v>752443.2512419771</v>
      </c>
      <c r="J106" s="88">
        <f>SUM(J80:J104)</f>
        <v>754243.802554545</v>
      </c>
    </row>
    <row r="107" spans="2:9" ht="12.75">
      <c r="B107" s="84" t="s">
        <v>0</v>
      </c>
      <c r="C107" s="38"/>
      <c r="D107" s="38"/>
      <c r="E107" s="38"/>
      <c r="F107" s="38"/>
      <c r="G107" s="38"/>
      <c r="H107" s="38"/>
      <c r="I107" s="38"/>
    </row>
    <row r="108" spans="8:9" ht="12.75">
      <c r="H108" s="7" t="s">
        <v>337</v>
      </c>
      <c r="I108" s="7" t="s">
        <v>497</v>
      </c>
    </row>
    <row r="109" spans="4:11" ht="12.75">
      <c r="D109" t="s">
        <v>160</v>
      </c>
      <c r="H109" s="21">
        <v>0.065</v>
      </c>
      <c r="I109" s="26">
        <f>H109/12</f>
        <v>0.005416666666666667</v>
      </c>
      <c r="K109" s="91" t="s">
        <v>532</v>
      </c>
    </row>
    <row r="111" spans="4:12" ht="12.75">
      <c r="D111" s="11" t="s">
        <v>159</v>
      </c>
      <c r="G111" s="23" t="s">
        <v>0</v>
      </c>
      <c r="I111" s="88">
        <f>I106</f>
        <v>752443.2512419771</v>
      </c>
      <c r="K111" s="7" t="s">
        <v>337</v>
      </c>
      <c r="L111" s="7" t="s">
        <v>337</v>
      </c>
    </row>
    <row r="112" spans="4:12" ht="12.75">
      <c r="D112" s="11" t="s">
        <v>537</v>
      </c>
      <c r="E112" s="11"/>
      <c r="F112" s="11"/>
      <c r="G112" s="11"/>
      <c r="H112" s="39"/>
      <c r="I112" s="92">
        <f>IRR(K114:L115)</f>
        <v>4.192579216099314</v>
      </c>
      <c r="J112" t="s">
        <v>0</v>
      </c>
      <c r="K112" s="7" t="s">
        <v>536</v>
      </c>
      <c r="L112" s="7" t="s">
        <v>535</v>
      </c>
    </row>
    <row r="113" spans="4:12" ht="12.75">
      <c r="D113" s="11" t="s">
        <v>506</v>
      </c>
      <c r="H113" s="86" t="s">
        <v>507</v>
      </c>
      <c r="I113" s="11">
        <v>0</v>
      </c>
      <c r="K113" s="7"/>
      <c r="L113" s="7"/>
    </row>
    <row r="114" spans="11:12" ht="12.75">
      <c r="K114" s="38">
        <f>G92</f>
        <v>-102000</v>
      </c>
      <c r="L114" s="38">
        <f>C92</f>
        <v>532810</v>
      </c>
    </row>
    <row r="115" spans="11:12" ht="12.75">
      <c r="K115" s="38">
        <f>G105</f>
        <v>-109250</v>
      </c>
      <c r="L115" s="38">
        <f>C105</f>
        <v>481900</v>
      </c>
    </row>
    <row r="116" spans="2:9" ht="12.75">
      <c r="B116" s="12" t="s">
        <v>192</v>
      </c>
      <c r="C116" s="13"/>
      <c r="D116" s="13"/>
      <c r="E116" s="13"/>
      <c r="F116" s="13"/>
      <c r="G116" s="13"/>
      <c r="H116" s="13"/>
      <c r="I116" s="13"/>
    </row>
    <row r="118" spans="3:7" ht="12.75">
      <c r="C118" t="s">
        <v>193</v>
      </c>
      <c r="G118" t="str">
        <f>IF(I111&gt;0,"Yes","No")</f>
        <v>Yes</v>
      </c>
    </row>
    <row r="119" spans="3:7" ht="12.75">
      <c r="C119" t="s">
        <v>196</v>
      </c>
      <c r="G119" t="str">
        <f>IF(I112&gt;H109,"Yes","No")</f>
        <v>Yes</v>
      </c>
    </row>
    <row r="120" spans="3:7" ht="12.75">
      <c r="C120" t="s">
        <v>197</v>
      </c>
      <c r="G120" t="str">
        <f>IF(H113&gt;0,"Yes","No")</f>
        <v>Yes</v>
      </c>
    </row>
    <row r="122" ht="12.75">
      <c r="C122" s="6" t="s">
        <v>194</v>
      </c>
    </row>
    <row r="123" ht="12.75">
      <c r="C123" s="6" t="s">
        <v>195</v>
      </c>
    </row>
    <row r="126" spans="2:9" ht="12.75">
      <c r="B126" s="12" t="s">
        <v>216</v>
      </c>
      <c r="C126" s="13"/>
      <c r="D126" s="13"/>
      <c r="E126" s="13"/>
      <c r="F126" s="13"/>
      <c r="G126" s="13"/>
      <c r="H126" s="13"/>
      <c r="I126" s="13"/>
    </row>
    <row r="128" spans="3:7" ht="12.75">
      <c r="C128" t="s">
        <v>217</v>
      </c>
      <c r="F128" s="26">
        <v>0</v>
      </c>
      <c r="G128" t="s">
        <v>509</v>
      </c>
    </row>
    <row r="130" ht="12.75">
      <c r="C130" t="s">
        <v>242</v>
      </c>
    </row>
    <row r="131" ht="12.75">
      <c r="C131" t="s">
        <v>243</v>
      </c>
    </row>
    <row r="132" spans="4:10" ht="12.75">
      <c r="D132" t="s">
        <v>219</v>
      </c>
      <c r="I132" s="30">
        <v>1</v>
      </c>
      <c r="J132" t="s">
        <v>244</v>
      </c>
    </row>
    <row r="133" spans="4:10" ht="12.75">
      <c r="D133" t="s">
        <v>220</v>
      </c>
      <c r="I133">
        <v>1</v>
      </c>
      <c r="J133" t="s">
        <v>245</v>
      </c>
    </row>
    <row r="134" spans="4:10" ht="12.75">
      <c r="D134" t="s">
        <v>246</v>
      </c>
      <c r="I134" s="34">
        <f>2-I132</f>
        <v>1</v>
      </c>
      <c r="J134" t="s">
        <v>248</v>
      </c>
    </row>
    <row r="135" spans="4:9" ht="12.75">
      <c r="D135" t="s">
        <v>247</v>
      </c>
      <c r="I135" s="34">
        <f>I133^I134</f>
        <v>1</v>
      </c>
    </row>
    <row r="137" spans="4:9" ht="12.75">
      <c r="D137" t="s">
        <v>249</v>
      </c>
      <c r="I137" s="3">
        <v>0.75</v>
      </c>
    </row>
    <row r="138" spans="4:10" ht="12.75">
      <c r="D138" t="s">
        <v>250</v>
      </c>
      <c r="I138" s="3">
        <v>4</v>
      </c>
      <c r="J138" t="s">
        <v>0</v>
      </c>
    </row>
    <row r="139" spans="4:10" ht="12.75">
      <c r="D139" t="s">
        <v>251</v>
      </c>
      <c r="I139">
        <f>2-I137</f>
        <v>1.25</v>
      </c>
      <c r="J139" t="s">
        <v>0</v>
      </c>
    </row>
    <row r="140" spans="4:9" ht="12.75">
      <c r="D140" s="11" t="s">
        <v>252</v>
      </c>
      <c r="E140" s="11"/>
      <c r="F140" s="11"/>
      <c r="G140" s="11"/>
      <c r="H140" s="11"/>
      <c r="I140" s="44">
        <f>I138^I139</f>
        <v>5.656854249492381</v>
      </c>
    </row>
    <row r="142" ht="12.75">
      <c r="C142" t="s">
        <v>221</v>
      </c>
    </row>
    <row r="143" spans="3:9" ht="12.75">
      <c r="C143" s="22" t="s">
        <v>222</v>
      </c>
      <c r="D143" t="s">
        <v>225</v>
      </c>
      <c r="I143" s="21">
        <v>0.15</v>
      </c>
    </row>
    <row r="144" spans="3:9" ht="12.75">
      <c r="C144" s="22" t="s">
        <v>223</v>
      </c>
      <c r="D144" t="s">
        <v>226</v>
      </c>
      <c r="I144" s="21">
        <v>0.65</v>
      </c>
    </row>
    <row r="145" spans="3:9" ht="12.75">
      <c r="C145" s="22" t="s">
        <v>224</v>
      </c>
      <c r="D145" t="s">
        <v>227</v>
      </c>
      <c r="I145" s="21">
        <v>0.2</v>
      </c>
    </row>
    <row r="146" spans="5:9" ht="12.75">
      <c r="E146" t="s">
        <v>228</v>
      </c>
      <c r="G146" s="26">
        <v>1</v>
      </c>
      <c r="I146" s="26">
        <f>SUM(I143:I145)</f>
        <v>1</v>
      </c>
    </row>
    <row r="148" ht="12.75">
      <c r="C148" s="31" t="s">
        <v>229</v>
      </c>
    </row>
    <row r="149" ht="12.75">
      <c r="C149" s="31"/>
    </row>
    <row r="150" spans="7:11" ht="12.75">
      <c r="G150" s="7" t="s">
        <v>0</v>
      </c>
      <c r="H150" s="7" t="s">
        <v>235</v>
      </c>
      <c r="I150" s="7" t="s">
        <v>237</v>
      </c>
      <c r="J150" s="7" t="s">
        <v>540</v>
      </c>
      <c r="K150" s="7" t="s">
        <v>540</v>
      </c>
    </row>
    <row r="151" spans="4:11" ht="12.75">
      <c r="D151" s="106" t="s">
        <v>354</v>
      </c>
      <c r="E151" s="105"/>
      <c r="F151" s="105"/>
      <c r="G151" s="7" t="s">
        <v>233</v>
      </c>
      <c r="H151" s="7" t="s">
        <v>234</v>
      </c>
      <c r="I151" s="7" t="s">
        <v>238</v>
      </c>
      <c r="J151" s="7" t="s">
        <v>539</v>
      </c>
      <c r="K151" s="7" t="s">
        <v>502</v>
      </c>
    </row>
    <row r="152" spans="3:9" ht="12.75">
      <c r="C152" s="46" t="s">
        <v>508</v>
      </c>
      <c r="D152" s="46" t="s">
        <v>232</v>
      </c>
      <c r="E152" s="46" t="s">
        <v>230</v>
      </c>
      <c r="F152" s="46" t="s">
        <v>231</v>
      </c>
      <c r="G152" s="46" t="s">
        <v>162</v>
      </c>
      <c r="H152" s="46" t="s">
        <v>236</v>
      </c>
      <c r="I152" s="46" t="s">
        <v>239</v>
      </c>
    </row>
    <row r="153" spans="3:9" ht="12.75">
      <c r="C153">
        <v>1</v>
      </c>
      <c r="D153" s="32">
        <v>12050</v>
      </c>
      <c r="E153" s="23">
        <f aca="true" t="shared" si="4" ref="E153:E164">I80</f>
        <v>13128.885205138831</v>
      </c>
      <c r="F153" s="32">
        <v>13700</v>
      </c>
      <c r="G153" s="23">
        <f>(D153*$I$143)+(E153*$I$144)+(F153*$I$145)</f>
        <v>13081.27538334024</v>
      </c>
      <c r="H153" s="23">
        <f>STDEV(D153,G153)+STDEV(E153,G153)+STDEV(F153,G153)</f>
        <v>1200.391416803409</v>
      </c>
      <c r="I153" s="33">
        <f>H153/G153</f>
        <v>0.09176409651402773</v>
      </c>
    </row>
    <row r="154" spans="3:9" ht="12.75">
      <c r="C154">
        <v>2</v>
      </c>
      <c r="D154" s="32">
        <v>26200</v>
      </c>
      <c r="E154" s="23">
        <f t="shared" si="4"/>
        <v>28589.44222043569</v>
      </c>
      <c r="F154" s="32">
        <v>29900</v>
      </c>
      <c r="G154" s="23">
        <f aca="true" t="shared" si="5" ref="G154:G177">(D154*$I$143)+(E154*$I$144)+(F154*$I$145)</f>
        <v>28493.137443283198</v>
      </c>
      <c r="H154" s="23">
        <f aca="true" t="shared" si="6" ref="H154:H179">STDEV(D154,G154)+STDEV(E154,G154)+STDEV(F154,G154)</f>
        <v>2684.392851372916</v>
      </c>
      <c r="I154" s="33">
        <f aca="true" t="shared" si="7" ref="I154:I179">H154/G154</f>
        <v>0.09421190827848686</v>
      </c>
    </row>
    <row r="155" spans="3:9" ht="12.75">
      <c r="C155">
        <v>3</v>
      </c>
      <c r="D155" s="32">
        <v>28830</v>
      </c>
      <c r="E155" s="23">
        <f t="shared" si="4"/>
        <v>31485.58288694974</v>
      </c>
      <c r="F155" s="32">
        <v>32920</v>
      </c>
      <c r="G155" s="23">
        <f t="shared" si="5"/>
        <v>31374.128876517334</v>
      </c>
      <c r="H155" s="23">
        <f t="shared" si="6"/>
        <v>2970.876621621143</v>
      </c>
      <c r="I155" s="33">
        <f t="shared" si="7"/>
        <v>0.09469192382405116</v>
      </c>
    </row>
    <row r="156" spans="3:9" ht="12.75">
      <c r="C156">
        <v>4</v>
      </c>
      <c r="D156" s="32">
        <v>31390</v>
      </c>
      <c r="E156" s="23">
        <f t="shared" si="4"/>
        <v>34545.412637049085</v>
      </c>
      <c r="F156" s="32">
        <v>36050</v>
      </c>
      <c r="G156" s="23">
        <f t="shared" si="5"/>
        <v>34373.01821408191</v>
      </c>
      <c r="H156" s="23">
        <f t="shared" si="6"/>
        <v>3417.018865849079</v>
      </c>
      <c r="I156" s="33">
        <f t="shared" si="7"/>
        <v>0.0994099163642603</v>
      </c>
    </row>
    <row r="157" spans="3:9" ht="12.75">
      <c r="C157">
        <v>5</v>
      </c>
      <c r="D157" s="32">
        <v>32710</v>
      </c>
      <c r="E157" s="23">
        <f t="shared" si="4"/>
        <v>35760.925589370614</v>
      </c>
      <c r="F157" s="32">
        <v>37430</v>
      </c>
      <c r="G157" s="23">
        <f t="shared" si="5"/>
        <v>35637.101633090904</v>
      </c>
      <c r="H157" s="23">
        <f t="shared" si="6"/>
        <v>3425.100766358646</v>
      </c>
      <c r="I157" s="33">
        <f t="shared" si="7"/>
        <v>0.0961105311431461</v>
      </c>
    </row>
    <row r="158" spans="3:9" ht="12.75">
      <c r="C158">
        <v>6</v>
      </c>
      <c r="D158" s="32">
        <v>32600</v>
      </c>
      <c r="E158" s="23">
        <f t="shared" si="4"/>
        <v>35626.350599707184</v>
      </c>
      <c r="F158" s="32">
        <v>37250</v>
      </c>
      <c r="G158" s="23">
        <f t="shared" si="5"/>
        <v>35497.12788980967</v>
      </c>
      <c r="H158" s="23">
        <f t="shared" si="6"/>
        <v>3379.4207869711636</v>
      </c>
      <c r="I158" s="33">
        <f t="shared" si="7"/>
        <v>0.09520265406997364</v>
      </c>
    </row>
    <row r="159" spans="3:9" ht="12.75">
      <c r="C159">
        <v>7</v>
      </c>
      <c r="D159" s="32">
        <v>34170</v>
      </c>
      <c r="E159" s="23">
        <f t="shared" si="4"/>
        <v>37504.631322868736</v>
      </c>
      <c r="F159" s="32">
        <v>39250</v>
      </c>
      <c r="G159" s="23">
        <f t="shared" si="5"/>
        <v>37353.51035986468</v>
      </c>
      <c r="H159" s="23">
        <f t="shared" si="6"/>
        <v>3698.961106148463</v>
      </c>
      <c r="I159" s="33">
        <f t="shared" si="7"/>
        <v>0.09902579625080953</v>
      </c>
    </row>
    <row r="160" spans="3:9" ht="12.75">
      <c r="C160">
        <v>8</v>
      </c>
      <c r="D160" s="32">
        <v>35870</v>
      </c>
      <c r="E160" s="23">
        <f t="shared" si="4"/>
        <v>39112.63650245278</v>
      </c>
      <c r="F160" s="32">
        <v>40900</v>
      </c>
      <c r="G160" s="23">
        <f t="shared" si="5"/>
        <v>38983.7137265943</v>
      </c>
      <c r="H160" s="23">
        <f t="shared" si="6"/>
        <v>3647.9092784276454</v>
      </c>
      <c r="I160" s="33">
        <f t="shared" si="7"/>
        <v>0.09357521204910445</v>
      </c>
    </row>
    <row r="161" spans="3:9" ht="12.75">
      <c r="C161">
        <v>9</v>
      </c>
      <c r="D161" s="32">
        <v>36275</v>
      </c>
      <c r="E161" s="23">
        <f t="shared" si="4"/>
        <v>39673.478834094254</v>
      </c>
      <c r="F161" s="32">
        <v>41470</v>
      </c>
      <c r="G161" s="23">
        <f t="shared" si="5"/>
        <v>39523.011242161265</v>
      </c>
      <c r="H161" s="23">
        <f t="shared" si="6"/>
        <v>3779.816382869092</v>
      </c>
      <c r="I161" s="33">
        <f t="shared" si="7"/>
        <v>0.0956358400859134</v>
      </c>
    </row>
    <row r="162" spans="3:9" ht="12.75">
      <c r="C162">
        <v>10</v>
      </c>
      <c r="D162" s="32">
        <v>36510</v>
      </c>
      <c r="E162" s="23">
        <f t="shared" si="4"/>
        <v>39838.70365986553</v>
      </c>
      <c r="F162" s="32">
        <v>41680</v>
      </c>
      <c r="G162" s="23">
        <f t="shared" si="5"/>
        <v>39707.6573789126</v>
      </c>
      <c r="H162" s="23">
        <f t="shared" si="6"/>
        <v>3748.4057726499723</v>
      </c>
      <c r="I162" s="33">
        <f t="shared" si="7"/>
        <v>0.09440007343874747</v>
      </c>
    </row>
    <row r="163" spans="3:9" ht="12.75">
      <c r="C163">
        <v>11</v>
      </c>
      <c r="D163" s="32">
        <v>36810</v>
      </c>
      <c r="E163" s="23">
        <f t="shared" si="4"/>
        <v>40217.72763057956</v>
      </c>
      <c r="F163" s="32">
        <v>42050</v>
      </c>
      <c r="G163" s="23">
        <f t="shared" si="5"/>
        <v>40073.02295987672</v>
      </c>
      <c r="H163" s="23">
        <f t="shared" si="6"/>
        <v>3807.5611873422877</v>
      </c>
      <c r="I163" s="33">
        <f t="shared" si="7"/>
        <v>0.09501557172651098</v>
      </c>
    </row>
    <row r="164" spans="3:9" ht="12.75">
      <c r="C164">
        <v>12</v>
      </c>
      <c r="D164" s="32">
        <v>35860</v>
      </c>
      <c r="E164" s="23">
        <f t="shared" si="4"/>
        <v>39082.5680375124</v>
      </c>
      <c r="F164" s="32">
        <v>40920</v>
      </c>
      <c r="G164" s="23">
        <f t="shared" si="5"/>
        <v>38966.66922438306</v>
      </c>
      <c r="H164" s="23">
        <f t="shared" si="6"/>
        <v>3659.913149495076</v>
      </c>
      <c r="I164" s="33">
        <f t="shared" si="7"/>
        <v>0.0939241978425222</v>
      </c>
    </row>
    <row r="165" spans="2:9" ht="12.75">
      <c r="B165" t="s">
        <v>538</v>
      </c>
      <c r="E165" s="23"/>
      <c r="G165" s="23">
        <f>SUM(G153:G164)</f>
        <v>413063.37433191587</v>
      </c>
      <c r="H165" s="23"/>
      <c r="I165" s="33"/>
    </row>
    <row r="166" spans="3:9" ht="12.75">
      <c r="C166">
        <v>13</v>
      </c>
      <c r="D166" s="32">
        <v>25620</v>
      </c>
      <c r="E166" s="23">
        <f aca="true" t="shared" si="8" ref="E166:E177">I93</f>
        <v>27918.866636021226</v>
      </c>
      <c r="F166" s="32">
        <v>29200</v>
      </c>
      <c r="G166" s="23">
        <f t="shared" si="5"/>
        <v>27830.263313413798</v>
      </c>
      <c r="H166" s="23">
        <f t="shared" si="6"/>
        <v>2594.0942868992547</v>
      </c>
      <c r="I166" s="33">
        <f t="shared" si="7"/>
        <v>0.09321127355805281</v>
      </c>
    </row>
    <row r="167" spans="3:9" ht="12.75">
      <c r="C167">
        <v>14</v>
      </c>
      <c r="D167" s="32">
        <v>30850</v>
      </c>
      <c r="E167" s="23">
        <f t="shared" si="8"/>
        <v>33702.2807777639</v>
      </c>
      <c r="F167" s="32">
        <v>35240</v>
      </c>
      <c r="G167" s="23">
        <f t="shared" si="5"/>
        <v>33581.98250554653</v>
      </c>
      <c r="H167" s="23">
        <f t="shared" si="6"/>
        <v>3189.262493460969</v>
      </c>
      <c r="I167" s="33">
        <f t="shared" si="7"/>
        <v>0.09496945253110706</v>
      </c>
    </row>
    <row r="168" spans="3:9" ht="12.75">
      <c r="C168">
        <v>15</v>
      </c>
      <c r="D168" s="32">
        <v>31170</v>
      </c>
      <c r="E168" s="23">
        <f t="shared" si="8"/>
        <v>34074.009470390534</v>
      </c>
      <c r="F168" s="32">
        <v>35630</v>
      </c>
      <c r="G168" s="23">
        <f t="shared" si="5"/>
        <v>33949.60615575385</v>
      </c>
      <c r="H168" s="23">
        <f t="shared" si="6"/>
        <v>3241.6626714702343</v>
      </c>
      <c r="I168" s="33">
        <f t="shared" si="7"/>
        <v>0.09548454425651211</v>
      </c>
    </row>
    <row r="169" spans="3:9" ht="12.75">
      <c r="C169">
        <v>16</v>
      </c>
      <c r="D169" s="32">
        <v>29350</v>
      </c>
      <c r="E169" s="23">
        <f t="shared" si="8"/>
        <v>32033.111958489786</v>
      </c>
      <c r="F169" s="32">
        <v>33510</v>
      </c>
      <c r="G169" s="23">
        <f t="shared" si="5"/>
        <v>31926.02277301836</v>
      </c>
      <c r="H169" s="23">
        <f t="shared" si="6"/>
        <v>3017.2876989720544</v>
      </c>
      <c r="I169" s="33">
        <f t="shared" si="7"/>
        <v>0.09450872476110787</v>
      </c>
    </row>
    <row r="170" spans="3:9" ht="12.75">
      <c r="C170">
        <v>17</v>
      </c>
      <c r="D170" s="32">
        <v>27960</v>
      </c>
      <c r="E170" s="23">
        <f t="shared" si="8"/>
        <v>30583.37593558737</v>
      </c>
      <c r="F170" s="32">
        <v>31920</v>
      </c>
      <c r="G170" s="23">
        <f t="shared" si="5"/>
        <v>30457.19435813179</v>
      </c>
      <c r="H170" s="23">
        <f t="shared" si="6"/>
        <v>2889.366702578447</v>
      </c>
      <c r="I170" s="33">
        <f t="shared" si="7"/>
        <v>0.09486647616335721</v>
      </c>
    </row>
    <row r="171" spans="3:9" ht="12.75">
      <c r="C171">
        <v>18</v>
      </c>
      <c r="D171" s="32">
        <v>26300</v>
      </c>
      <c r="E171" s="23">
        <f t="shared" si="8"/>
        <v>28694.660490959595</v>
      </c>
      <c r="F171" s="32">
        <v>30010</v>
      </c>
      <c r="G171" s="23">
        <f t="shared" si="5"/>
        <v>28598.529319123736</v>
      </c>
      <c r="H171" s="23">
        <f t="shared" si="6"/>
        <v>2691.3411616887156</v>
      </c>
      <c r="I171" s="33">
        <f t="shared" si="7"/>
        <v>0.09410767706467428</v>
      </c>
    </row>
    <row r="172" spans="3:9" ht="12.75">
      <c r="C172">
        <v>19</v>
      </c>
      <c r="D172" s="32">
        <v>25120</v>
      </c>
      <c r="E172" s="23">
        <f t="shared" si="8"/>
        <v>27565.419475486255</v>
      </c>
      <c r="F172" s="32">
        <v>28850</v>
      </c>
      <c r="G172" s="23">
        <f t="shared" si="5"/>
        <v>27455.522659066068</v>
      </c>
      <c r="H172" s="23">
        <f t="shared" si="6"/>
        <v>2715.2170779474773</v>
      </c>
      <c r="I172" s="33">
        <f t="shared" si="7"/>
        <v>0.09889511526202498</v>
      </c>
    </row>
    <row r="173" spans="3:9" ht="12.75">
      <c r="C173">
        <v>20</v>
      </c>
      <c r="D173" s="32">
        <v>24470</v>
      </c>
      <c r="E173" s="23">
        <f t="shared" si="8"/>
        <v>26878.356722120956</v>
      </c>
      <c r="F173" s="32">
        <v>28140</v>
      </c>
      <c r="G173" s="23">
        <f t="shared" si="5"/>
        <v>26769.431869378623</v>
      </c>
      <c r="H173" s="23">
        <f t="shared" si="6"/>
        <v>2672.103388969488</v>
      </c>
      <c r="I173" s="33">
        <f t="shared" si="7"/>
        <v>0.09981920430765995</v>
      </c>
    </row>
    <row r="174" spans="3:9" ht="12.75">
      <c r="C174">
        <v>21</v>
      </c>
      <c r="D174" s="32">
        <v>23690</v>
      </c>
      <c r="E174" s="23">
        <f t="shared" si="8"/>
        <v>26019.345952438103</v>
      </c>
      <c r="F174" s="32">
        <v>27300</v>
      </c>
      <c r="G174" s="23">
        <f t="shared" si="5"/>
        <v>25926.07486908477</v>
      </c>
      <c r="H174" s="23">
        <f t="shared" si="6"/>
        <v>2618.608095612829</v>
      </c>
      <c r="I174" s="33">
        <f t="shared" si="7"/>
        <v>0.10100287485998724</v>
      </c>
    </row>
    <row r="175" spans="3:9" ht="12.75">
      <c r="C175">
        <v>22</v>
      </c>
      <c r="D175" s="32">
        <v>23150</v>
      </c>
      <c r="E175" s="23">
        <f t="shared" si="8"/>
        <v>25421.875276914758</v>
      </c>
      <c r="F175" s="32">
        <v>26700</v>
      </c>
      <c r="G175" s="23">
        <f t="shared" si="5"/>
        <v>25336.718929994593</v>
      </c>
      <c r="H175" s="23">
        <f t="shared" si="6"/>
        <v>2570.4437035804685</v>
      </c>
      <c r="I175" s="33">
        <f t="shared" si="7"/>
        <v>0.10145132488080283</v>
      </c>
    </row>
    <row r="176" spans="3:9" ht="12.75">
      <c r="C176">
        <v>23</v>
      </c>
      <c r="D176" s="32">
        <v>22660</v>
      </c>
      <c r="E176" s="23">
        <f t="shared" si="8"/>
        <v>24931.650696947137</v>
      </c>
      <c r="F176" s="32">
        <v>26200</v>
      </c>
      <c r="G176" s="23">
        <f t="shared" si="5"/>
        <v>24844.57295301564</v>
      </c>
      <c r="H176" s="23">
        <f t="shared" si="6"/>
        <v>2564.7312686231653</v>
      </c>
      <c r="I176" s="33">
        <f t="shared" si="7"/>
        <v>0.10323104661422075</v>
      </c>
    </row>
    <row r="177" spans="3:9" ht="12.75">
      <c r="C177">
        <v>24</v>
      </c>
      <c r="D177" s="32">
        <v>18230</v>
      </c>
      <c r="E177" s="23">
        <f t="shared" si="8"/>
        <v>20053.95272283291</v>
      </c>
      <c r="F177" s="32">
        <v>21100</v>
      </c>
      <c r="G177" s="23">
        <f t="shared" si="5"/>
        <v>19989.56926984139</v>
      </c>
      <c r="H177" s="23">
        <f t="shared" si="6"/>
        <v>2074.9224382108696</v>
      </c>
      <c r="I177" s="33">
        <f t="shared" si="7"/>
        <v>0.10380025753438024</v>
      </c>
    </row>
    <row r="178" spans="2:9" ht="12.75">
      <c r="B178" t="s">
        <v>538</v>
      </c>
      <c r="E178" s="23"/>
      <c r="G178" s="23">
        <f>SUM(G166:G177)</f>
        <v>336665.48897536914</v>
      </c>
      <c r="H178" s="23"/>
      <c r="I178" s="33"/>
    </row>
    <row r="179" spans="4:9" ht="12.75">
      <c r="D179" s="23">
        <f>SUM(D153:D177)</f>
        <v>687845</v>
      </c>
      <c r="E179" s="23">
        <f>SUM(E153:E177)</f>
        <v>752443.2512419771</v>
      </c>
      <c r="F179" s="23">
        <f>SUM(F153:F177)</f>
        <v>787320</v>
      </c>
      <c r="G179" s="23">
        <f>G165+G178</f>
        <v>749728.863307285</v>
      </c>
      <c r="H179" s="23">
        <f t="shared" si="6"/>
        <v>72258.80917402849</v>
      </c>
      <c r="I179" s="33">
        <f t="shared" si="7"/>
        <v>0.09637992174300536</v>
      </c>
    </row>
    <row r="181" spans="4:8" ht="12.75">
      <c r="D181" s="11" t="s">
        <v>241</v>
      </c>
      <c r="E181" s="11"/>
      <c r="F181" s="11"/>
      <c r="G181" s="11"/>
      <c r="H181" s="25">
        <f>H179</f>
        <v>72258.80917402849</v>
      </c>
    </row>
    <row r="182" spans="4:8" ht="12.75">
      <c r="D182" s="11" t="s">
        <v>299</v>
      </c>
      <c r="E182" s="11"/>
      <c r="F182" s="11"/>
      <c r="G182" s="11"/>
      <c r="H182" s="45">
        <f>I179</f>
        <v>0.09637992174300536</v>
      </c>
    </row>
    <row r="183" spans="4:8" ht="12.75">
      <c r="D183" s="11"/>
      <c r="E183" s="11"/>
      <c r="F183" s="11"/>
      <c r="G183" s="11"/>
      <c r="H183" s="45"/>
    </row>
    <row r="185" spans="2:9" ht="12.75">
      <c r="B185" s="12" t="s">
        <v>261</v>
      </c>
      <c r="C185" s="13"/>
      <c r="D185" s="13"/>
      <c r="E185" s="13"/>
      <c r="F185" s="13"/>
      <c r="G185" s="13"/>
      <c r="H185" s="13"/>
      <c r="I185" s="13"/>
    </row>
    <row r="187" spans="5:7" ht="12.75">
      <c r="E187" s="7" t="s">
        <v>233</v>
      </c>
      <c r="F187" s="7" t="s">
        <v>355</v>
      </c>
      <c r="G187" s="7" t="s">
        <v>0</v>
      </c>
    </row>
    <row r="188" spans="4:7" ht="12.75">
      <c r="D188" s="46" t="s">
        <v>528</v>
      </c>
      <c r="E188" s="46" t="s">
        <v>356</v>
      </c>
      <c r="F188" s="46" t="s">
        <v>162</v>
      </c>
      <c r="G188" s="46" t="s">
        <v>0</v>
      </c>
    </row>
    <row r="189" spans="4:7" ht="12.75">
      <c r="D189">
        <v>1</v>
      </c>
      <c r="E189" s="23">
        <f aca="true" t="shared" si="9" ref="E189:E200">E153</f>
        <v>13128.885205138831</v>
      </c>
      <c r="F189" s="23">
        <f>E189/(1+$I$109)^D189</f>
        <v>13058.153540129795</v>
      </c>
      <c r="G189" s="23"/>
    </row>
    <row r="190" spans="4:7" ht="12.75">
      <c r="D190">
        <v>2</v>
      </c>
      <c r="E190" s="23">
        <f t="shared" si="9"/>
        <v>28589.44222043569</v>
      </c>
      <c r="F190" s="23">
        <f aca="true" t="shared" si="10" ref="F190:F212">E190/(1+$I$109)^D190</f>
        <v>28282.221677357466</v>
      </c>
      <c r="G190" s="23"/>
    </row>
    <row r="191" spans="4:7" ht="12.75">
      <c r="D191">
        <v>3</v>
      </c>
      <c r="E191" s="23">
        <f t="shared" si="9"/>
        <v>31485.58288694974</v>
      </c>
      <c r="F191" s="23">
        <f t="shared" si="10"/>
        <v>30979.4353040932</v>
      </c>
      <c r="G191" s="23"/>
    </row>
    <row r="192" spans="4:7" ht="12.75">
      <c r="D192">
        <v>4</v>
      </c>
      <c r="E192" s="23">
        <f t="shared" si="9"/>
        <v>34545.412637049085</v>
      </c>
      <c r="F192" s="23">
        <f t="shared" si="10"/>
        <v>33806.95564487226</v>
      </c>
      <c r="G192" s="23"/>
    </row>
    <row r="193" spans="4:7" ht="12.75">
      <c r="D193">
        <v>5</v>
      </c>
      <c r="E193" s="23">
        <f t="shared" si="9"/>
        <v>35760.925589370614</v>
      </c>
      <c r="F193" s="23">
        <f t="shared" si="10"/>
        <v>34807.942270236854</v>
      </c>
      <c r="G193" s="23"/>
    </row>
    <row r="194" spans="4:7" ht="12.75">
      <c r="D194">
        <v>6</v>
      </c>
      <c r="E194" s="23">
        <f t="shared" si="9"/>
        <v>35626.350599707184</v>
      </c>
      <c r="F194" s="23">
        <f t="shared" si="10"/>
        <v>34490.131985142834</v>
      </c>
      <c r="G194" s="23"/>
    </row>
    <row r="195" spans="4:7" ht="12.75">
      <c r="D195">
        <v>7</v>
      </c>
      <c r="E195" s="23">
        <f t="shared" si="9"/>
        <v>37504.631322868736</v>
      </c>
      <c r="F195" s="23">
        <f t="shared" si="10"/>
        <v>36112.897834770396</v>
      </c>
      <c r="G195" s="23"/>
    </row>
    <row r="196" spans="4:7" ht="12.75">
      <c r="D196">
        <v>8</v>
      </c>
      <c r="E196" s="23">
        <f t="shared" si="9"/>
        <v>39112.63650245278</v>
      </c>
      <c r="F196" s="23">
        <f t="shared" si="10"/>
        <v>37458.33335389328</v>
      </c>
      <c r="G196" s="23"/>
    </row>
    <row r="197" spans="4:7" ht="12.75">
      <c r="D197">
        <v>9</v>
      </c>
      <c r="E197" s="23">
        <f t="shared" si="9"/>
        <v>39673.478834094254</v>
      </c>
      <c r="F197" s="23">
        <f t="shared" si="10"/>
        <v>37790.75444896338</v>
      </c>
      <c r="G197" s="23"/>
    </row>
    <row r="198" spans="4:7" ht="12.75">
      <c r="D198">
        <v>10</v>
      </c>
      <c r="E198" s="23">
        <f t="shared" si="9"/>
        <v>39838.70365986553</v>
      </c>
      <c r="F198" s="23">
        <f t="shared" si="10"/>
        <v>37743.69344348593</v>
      </c>
      <c r="G198" s="23"/>
    </row>
    <row r="199" spans="4:7" ht="12.75">
      <c r="D199">
        <v>11</v>
      </c>
      <c r="E199" s="23">
        <f t="shared" si="9"/>
        <v>40217.72763057956</v>
      </c>
      <c r="F199" s="23">
        <f t="shared" si="10"/>
        <v>37897.50739848835</v>
      </c>
      <c r="G199" s="23"/>
    </row>
    <row r="200" spans="4:7" ht="12.75">
      <c r="D200">
        <v>12</v>
      </c>
      <c r="E200" s="23">
        <f t="shared" si="9"/>
        <v>39082.5680375124</v>
      </c>
      <c r="F200" s="23">
        <f t="shared" si="10"/>
        <v>36629.427443807814</v>
      </c>
      <c r="G200" s="23"/>
    </row>
    <row r="201" spans="4:7" ht="12.75">
      <c r="D201">
        <v>13</v>
      </c>
      <c r="E201" s="23">
        <f aca="true" t="shared" si="11" ref="E201:E212">E166</f>
        <v>27918.866636021226</v>
      </c>
      <c r="F201" s="23">
        <f t="shared" si="10"/>
        <v>26025.479607343546</v>
      </c>
      <c r="G201" s="23"/>
    </row>
    <row r="202" spans="4:7" ht="12.75">
      <c r="D202">
        <v>14</v>
      </c>
      <c r="E202" s="23">
        <f t="shared" si="11"/>
        <v>33702.2807777639</v>
      </c>
      <c r="F202" s="23">
        <f t="shared" si="10"/>
        <v>31247.42034726917</v>
      </c>
      <c r="G202" s="23"/>
    </row>
    <row r="203" spans="4:7" ht="12.75">
      <c r="D203">
        <v>15</v>
      </c>
      <c r="E203" s="23">
        <f t="shared" si="11"/>
        <v>34074.009470390534</v>
      </c>
      <c r="F203" s="23">
        <f t="shared" si="10"/>
        <v>31421.870673566</v>
      </c>
      <c r="G203" s="23"/>
    </row>
    <row r="204" spans="4:7" ht="12.75">
      <c r="D204">
        <v>16</v>
      </c>
      <c r="E204" s="23">
        <f t="shared" si="11"/>
        <v>32033.111958489786</v>
      </c>
      <c r="F204" s="23">
        <f>E204/(1+$I$109)^D204</f>
        <v>29380.680364928885</v>
      </c>
      <c r="G204" s="23"/>
    </row>
    <row r="205" spans="4:7" ht="12.75">
      <c r="D205">
        <v>17</v>
      </c>
      <c r="E205" s="23">
        <f t="shared" si="11"/>
        <v>30583.37593558737</v>
      </c>
      <c r="F205" s="23">
        <f t="shared" si="10"/>
        <v>27899.86230029723</v>
      </c>
      <c r="G205" s="23"/>
    </row>
    <row r="206" spans="4:7" ht="12.75">
      <c r="D206">
        <v>18</v>
      </c>
      <c r="E206" s="23">
        <f t="shared" si="11"/>
        <v>28694.660490959595</v>
      </c>
      <c r="F206" s="23">
        <f t="shared" si="10"/>
        <v>26035.843183918972</v>
      </c>
      <c r="G206" s="23"/>
    </row>
    <row r="207" spans="4:7" ht="12.75">
      <c r="D207">
        <v>19</v>
      </c>
      <c r="E207" s="23">
        <f t="shared" si="11"/>
        <v>27565.419475486255</v>
      </c>
      <c r="F207" s="23">
        <f t="shared" si="10"/>
        <v>24876.488815174886</v>
      </c>
      <c r="G207" s="23"/>
    </row>
    <row r="208" spans="4:7" ht="12.75">
      <c r="D208">
        <v>20</v>
      </c>
      <c r="E208" s="23">
        <f t="shared" si="11"/>
        <v>26878.356722120956</v>
      </c>
      <c r="F208" s="23">
        <f t="shared" si="10"/>
        <v>24125.76590688211</v>
      </c>
      <c r="G208" s="23"/>
    </row>
    <row r="209" spans="4:7" ht="12.75">
      <c r="D209">
        <v>21</v>
      </c>
      <c r="E209" s="23">
        <f t="shared" si="11"/>
        <v>26019.345952438103</v>
      </c>
      <c r="F209" s="23">
        <f t="shared" si="10"/>
        <v>23228.902514759207</v>
      </c>
      <c r="G209" s="23"/>
    </row>
    <row r="210" spans="4:7" ht="12.75">
      <c r="D210">
        <v>22</v>
      </c>
      <c r="E210" s="23">
        <f t="shared" si="11"/>
        <v>25421.875276914758</v>
      </c>
      <c r="F210" s="23">
        <f t="shared" si="10"/>
        <v>22573.23585731784</v>
      </c>
      <c r="G210" s="23"/>
    </row>
    <row r="211" spans="4:7" ht="12.75">
      <c r="D211">
        <v>23</v>
      </c>
      <c r="E211" s="23">
        <f t="shared" si="11"/>
        <v>24931.650696947137</v>
      </c>
      <c r="F211" s="23">
        <f t="shared" si="10"/>
        <v>22018.67539761193</v>
      </c>
      <c r="G211" s="23"/>
    </row>
    <row r="212" spans="4:11" ht="12.75">
      <c r="D212">
        <v>24</v>
      </c>
      <c r="E212" s="23">
        <f t="shared" si="11"/>
        <v>20053.95272283291</v>
      </c>
      <c r="F212" s="23">
        <f t="shared" si="10"/>
        <v>17615.46297895828</v>
      </c>
      <c r="G212" s="23"/>
      <c r="K212" s="91" t="s">
        <v>532</v>
      </c>
    </row>
    <row r="213" spans="4:6" ht="12.75">
      <c r="D213" t="s">
        <v>159</v>
      </c>
      <c r="F213" s="25">
        <f>SUM(F189:F212)</f>
        <v>705507.1422932696</v>
      </c>
    </row>
    <row r="214" spans="11:12" ht="12.75">
      <c r="K214" s="7" t="s">
        <v>337</v>
      </c>
      <c r="L214" s="7" t="s">
        <v>337</v>
      </c>
    </row>
    <row r="215" spans="3:12" ht="12.75">
      <c r="C215" s="11" t="s">
        <v>159</v>
      </c>
      <c r="F215" s="23" t="s">
        <v>0</v>
      </c>
      <c r="G215" s="43">
        <f>NPV($I$109,E189:E212)</f>
        <v>705507.1422932695</v>
      </c>
      <c r="K215" s="7" t="s">
        <v>536</v>
      </c>
      <c r="L215" s="7" t="s">
        <v>535</v>
      </c>
    </row>
    <row r="216" spans="3:12" ht="12.75">
      <c r="C216" s="11" t="s">
        <v>537</v>
      </c>
      <c r="D216" s="11"/>
      <c r="E216" s="11"/>
      <c r="F216" s="11"/>
      <c r="G216" s="39">
        <f>IRR(K217:L218)</f>
        <v>2.988577833795644</v>
      </c>
      <c r="K216" s="7"/>
      <c r="L216" s="7"/>
    </row>
    <row r="217" spans="3:12" ht="12.75">
      <c r="C217" s="11" t="s">
        <v>506</v>
      </c>
      <c r="F217" s="11" t="s">
        <v>507</v>
      </c>
      <c r="G217" s="93">
        <v>0</v>
      </c>
      <c r="K217" s="38">
        <f>G92</f>
        <v>-102000</v>
      </c>
      <c r="L217" s="38">
        <f>G165</f>
        <v>413063.37433191587</v>
      </c>
    </row>
    <row r="218" spans="2:12" ht="12.75">
      <c r="B218" s="84"/>
      <c r="K218" s="38">
        <f>G105</f>
        <v>-109250</v>
      </c>
      <c r="L218" s="38">
        <f>G178</f>
        <v>336665.48897536914</v>
      </c>
    </row>
    <row r="219" ht="12.75">
      <c r="B219" s="84"/>
    </row>
    <row r="220" ht="12.75">
      <c r="B220" s="84"/>
    </row>
    <row r="221" ht="12.75">
      <c r="B221" s="84"/>
    </row>
    <row r="222" ht="12.75">
      <c r="B222" s="84"/>
    </row>
  </sheetData>
  <mergeCells count="1">
    <mergeCell ref="D151:F151"/>
  </mergeCells>
  <conditionalFormatting sqref="I146">
    <cfRule type="cellIs" priority="1" dxfId="0" operator="notEqual" stopIfTrue="1">
      <formula>$G$146</formula>
    </cfRule>
  </conditionalFormatting>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A1:T73"/>
  <sheetViews>
    <sheetView workbookViewId="0" topLeftCell="A1">
      <selection activeCell="A62" sqref="A62"/>
    </sheetView>
  </sheetViews>
  <sheetFormatPr defaultColWidth="9.140625" defaultRowHeight="12.75"/>
  <cols>
    <col min="2" max="2" width="10.140625" style="0" customWidth="1"/>
    <col min="3" max="3" width="27.00390625" style="0" customWidth="1"/>
    <col min="4" max="4" width="10.8515625" style="0" customWidth="1"/>
    <col min="5" max="6" width="11.28125" style="0" customWidth="1"/>
    <col min="7" max="7" width="9.421875" style="0" customWidth="1"/>
    <col min="8" max="8" width="11.00390625" style="0" customWidth="1"/>
    <col min="9" max="9" width="11.421875" style="0" customWidth="1"/>
    <col min="10" max="10" width="10.57421875" style="0" customWidth="1"/>
    <col min="11" max="11" width="11.140625" style="0" customWidth="1"/>
    <col min="12" max="13" width="11.57421875" style="0" customWidth="1"/>
    <col min="14" max="14" width="10.8515625" style="0" customWidth="1"/>
  </cols>
  <sheetData>
    <row r="1" ht="18">
      <c r="C1" s="1" t="s">
        <v>4</v>
      </c>
    </row>
    <row r="2" ht="18">
      <c r="C2" s="1" t="str">
        <f>'Lead Worksheet'!C2</f>
        <v>Medical Services USA</v>
      </c>
    </row>
    <row r="3" spans="9:10" ht="12.75">
      <c r="I3" s="26">
        <f>'Lead Worksheet'!E51</f>
        <v>0.095</v>
      </c>
      <c r="J3" t="s">
        <v>426</v>
      </c>
    </row>
    <row r="4" spans="2:13" ht="12.75">
      <c r="B4" s="12" t="s">
        <v>400</v>
      </c>
      <c r="C4" s="13"/>
      <c r="D4" s="13"/>
      <c r="E4" s="13"/>
      <c r="F4" s="13"/>
      <c r="G4" s="13"/>
      <c r="H4" s="13"/>
      <c r="I4" s="71"/>
      <c r="J4" s="13" t="s">
        <v>477</v>
      </c>
      <c r="K4" s="13"/>
      <c r="L4" s="13"/>
      <c r="M4" s="13"/>
    </row>
    <row r="5" ht="12.75">
      <c r="J5" s="7" t="s">
        <v>412</v>
      </c>
    </row>
    <row r="6" spans="2:13" ht="12.75">
      <c r="B6" s="7" t="s">
        <v>103</v>
      </c>
      <c r="C6" s="7"/>
      <c r="D6" s="7" t="s">
        <v>401</v>
      </c>
      <c r="E6" s="7" t="s">
        <v>410</v>
      </c>
      <c r="F6" s="7" t="s">
        <v>463</v>
      </c>
      <c r="G6" s="7" t="s">
        <v>465</v>
      </c>
      <c r="H6" s="7" t="s">
        <v>103</v>
      </c>
      <c r="I6" s="7" t="s">
        <v>403</v>
      </c>
      <c r="J6" s="7" t="s">
        <v>165</v>
      </c>
      <c r="K6" s="7" t="s">
        <v>406</v>
      </c>
      <c r="L6" s="7" t="s">
        <v>408</v>
      </c>
      <c r="M6" s="7" t="s">
        <v>409</v>
      </c>
    </row>
    <row r="7" spans="2:13" ht="12.75">
      <c r="B7" s="7" t="s">
        <v>104</v>
      </c>
      <c r="C7" s="7" t="s">
        <v>13</v>
      </c>
      <c r="D7" s="7" t="s">
        <v>402</v>
      </c>
      <c r="E7" s="7" t="s">
        <v>411</v>
      </c>
      <c r="F7" s="7" t="s">
        <v>464</v>
      </c>
      <c r="G7" s="7" t="s">
        <v>464</v>
      </c>
      <c r="H7" s="7" t="s">
        <v>162</v>
      </c>
      <c r="I7" s="7" t="s">
        <v>404</v>
      </c>
      <c r="J7" s="7" t="s">
        <v>405</v>
      </c>
      <c r="K7" s="7" t="s">
        <v>407</v>
      </c>
      <c r="L7" s="7" t="s">
        <v>406</v>
      </c>
      <c r="M7" s="7" t="s">
        <v>406</v>
      </c>
    </row>
    <row r="9" spans="2:13" ht="12.75">
      <c r="B9" s="7" t="str">
        <f>'Project A'!B3</f>
        <v>A</v>
      </c>
      <c r="C9" t="str">
        <f>'Project A'!C3</f>
        <v>Diesel Generation System</v>
      </c>
      <c r="D9" s="69">
        <f>'Project A'!G79</f>
        <v>182080</v>
      </c>
      <c r="E9">
        <f>'Project A'!I57</f>
        <v>27</v>
      </c>
      <c r="F9" s="22" t="str">
        <f>'Project A'!D15</f>
        <v>F</v>
      </c>
      <c r="G9" s="22">
        <f>'Project A'!D16</f>
        <v>2</v>
      </c>
      <c r="H9" s="67">
        <f>'Project A'!E331</f>
        <v>34761.1777018836</v>
      </c>
      <c r="I9" s="26">
        <f>'Project A'!E332</f>
        <v>0.1006570812732066</v>
      </c>
      <c r="J9" s="68">
        <f>'Project A'!E333</f>
        <v>6.617607117204639</v>
      </c>
      <c r="K9" s="68">
        <f>'Project A'!H287</f>
        <v>9.518269693579391</v>
      </c>
      <c r="L9" s="30">
        <f>'Project A'!G312</f>
        <v>0.5157626395397558</v>
      </c>
      <c r="M9" s="69">
        <f>'Project A'!G311</f>
        <v>164673.8515028294</v>
      </c>
    </row>
    <row r="10" spans="2:13" ht="12.75">
      <c r="B10" s="7" t="str">
        <f>'Project B'!B3</f>
        <v>B</v>
      </c>
      <c r="C10" t="str">
        <f>'Project B'!C3</f>
        <v>New Clinic in Kansas City</v>
      </c>
      <c r="D10" s="69">
        <f>'Project B'!G72</f>
        <v>141000</v>
      </c>
      <c r="E10">
        <f>'Project B'!I57</f>
        <v>24</v>
      </c>
      <c r="F10" s="22" t="str">
        <f>'Project B'!D15</f>
        <v>C</v>
      </c>
      <c r="G10" s="22">
        <f>'Project B'!D16</f>
        <v>3</v>
      </c>
      <c r="H10" s="70">
        <f>'Project B'!F254</f>
        <v>4126.694404812122</v>
      </c>
      <c r="I10" s="26">
        <f>'Project B'!F255</f>
        <v>0.09682101436605772</v>
      </c>
      <c r="J10" s="68">
        <f>'Project B'!F256</f>
        <v>19.017918093945845</v>
      </c>
      <c r="K10" s="68">
        <f>'Project B'!I188</f>
        <v>18.52025917745213</v>
      </c>
      <c r="L10" s="30">
        <f>'Project B'!H224</f>
        <v>1.2639538218594357</v>
      </c>
      <c r="M10" s="69">
        <f>'Project B'!H223</f>
        <v>540660.4037639032</v>
      </c>
    </row>
    <row r="11" spans="2:13" ht="12.75">
      <c r="B11" s="7" t="str">
        <f>'Project C'!B3</f>
        <v>C</v>
      </c>
      <c r="C11" t="str">
        <f>'Project C'!C3</f>
        <v>Upgrade to DuBois Center</v>
      </c>
      <c r="D11" s="69">
        <f>'Project C'!G91</f>
        <v>1780000</v>
      </c>
      <c r="E11">
        <f>'Project C'!I57</f>
        <v>31</v>
      </c>
      <c r="F11" s="22" t="str">
        <f>'Project C'!D15</f>
        <v>C</v>
      </c>
      <c r="G11" s="22">
        <f>'Project C'!D16</f>
        <v>3</v>
      </c>
      <c r="H11" s="70">
        <f>'Project C'!F206</f>
        <v>715502.3016420538</v>
      </c>
      <c r="I11" s="26">
        <f>'Project C'!F207</f>
        <v>0.1112482545817357</v>
      </c>
      <c r="J11" s="68">
        <f>'Project C'!F208</f>
        <v>8.16572958032417</v>
      </c>
      <c r="K11" s="68">
        <f>'Project C'!I160</f>
        <v>6.062866266041592</v>
      </c>
      <c r="L11" s="30">
        <f>'Project C'!H186</f>
        <v>0.12083107020060811</v>
      </c>
      <c r="M11" s="69">
        <f>'Project C'!H185</f>
        <v>531418.7578026347</v>
      </c>
    </row>
    <row r="12" spans="2:13" ht="12.75">
      <c r="B12" s="7" t="str">
        <f>'Project D'!B3</f>
        <v>D</v>
      </c>
      <c r="C12" t="str">
        <f>'Project D'!C3</f>
        <v>Southeastern Upgrades</v>
      </c>
      <c r="D12" s="69">
        <f>'Project D'!G86</f>
        <v>1215000</v>
      </c>
      <c r="E12">
        <f>'Project D'!I57</f>
        <v>32</v>
      </c>
      <c r="F12" s="22" t="str">
        <f>'Project D'!D15</f>
        <v>C</v>
      </c>
      <c r="G12" s="22">
        <f>'Project D'!D16</f>
        <v>3</v>
      </c>
      <c r="H12" s="70">
        <f>'Project D'!F280</f>
        <v>416501.8511186333</v>
      </c>
      <c r="I12" s="26">
        <f>'Project D'!F281</f>
        <v>0.09326656453093785</v>
      </c>
      <c r="J12" s="68">
        <f>'Project D'!F282</f>
        <v>8.0125244777425</v>
      </c>
      <c r="K12" s="68">
        <f>'Project D'!H224</f>
        <v>11.233218021148659</v>
      </c>
      <c r="L12" s="30">
        <f>'Project D'!H255</f>
        <v>0.12582451917181478</v>
      </c>
      <c r="M12" s="69">
        <f>'Project D'!H254</f>
        <v>403897.49483213807</v>
      </c>
    </row>
    <row r="13" spans="2:13" ht="12.75">
      <c r="B13" s="7" t="str">
        <f>'Project E'!B3</f>
        <v>E</v>
      </c>
      <c r="C13" t="str">
        <f>'Project E'!D7</f>
        <v>Expand Toronto Urban Centers</v>
      </c>
      <c r="D13" s="69">
        <f>'Project E'!H75</f>
        <v>840000.0000000001</v>
      </c>
      <c r="E13">
        <f>'Project E'!I57</f>
        <v>32</v>
      </c>
      <c r="F13" s="22" t="str">
        <f>'Project E'!D15</f>
        <v>C</v>
      </c>
      <c r="G13" s="22">
        <f>'Project E'!D16</f>
        <v>3</v>
      </c>
      <c r="H13" s="70">
        <f>'Project E'!F191</f>
        <v>818923.2219527002</v>
      </c>
      <c r="I13" s="26">
        <f>'Project E'!F192</f>
        <v>0.1657634989973482</v>
      </c>
      <c r="J13" s="68">
        <f>'Project E'!F193</f>
        <v>5.497215119059891</v>
      </c>
      <c r="K13" s="68">
        <f>'Project E'!I145</f>
        <v>12.286035066475314</v>
      </c>
      <c r="L13" s="30">
        <f>'Project E'!H171</f>
        <v>0.2358185276019425</v>
      </c>
      <c r="M13" s="69">
        <f>'Project E'!H170</f>
        <v>800754.235519941</v>
      </c>
    </row>
    <row r="14" spans="2:13" ht="12.75">
      <c r="B14" s="7" t="str">
        <f>'Project F'!B3</f>
        <v>F</v>
      </c>
      <c r="C14" t="str">
        <f>'Project F'!D7</f>
        <v>Regulatory Compliance in NE</v>
      </c>
      <c r="D14" s="69">
        <v>0</v>
      </c>
      <c r="E14">
        <f>'Project F'!I58</f>
        <v>34</v>
      </c>
      <c r="F14" s="22" t="str">
        <f>'Project F'!D15</f>
        <v>E</v>
      </c>
      <c r="G14">
        <f>'Project F'!D16</f>
        <v>2</v>
      </c>
      <c r="H14" s="70">
        <f>'Project F'!G215</f>
        <v>705507.1422932695</v>
      </c>
      <c r="I14" s="94">
        <f>'Project F'!G216</f>
        <v>2.988577833795644</v>
      </c>
      <c r="J14" s="89">
        <f>'Project F'!G217</f>
        <v>0</v>
      </c>
      <c r="K14" s="68">
        <f>'Project F'!I140</f>
        <v>5.656854249492381</v>
      </c>
      <c r="L14" s="30">
        <f>'Project F'!H182</f>
        <v>0.09637992174300536</v>
      </c>
      <c r="M14" s="69">
        <f>'Project F'!H181</f>
        <v>72258.80917402849</v>
      </c>
    </row>
    <row r="15" spans="2:13" ht="12.75">
      <c r="B15" s="7"/>
      <c r="D15" s="69"/>
      <c r="E15" s="22"/>
      <c r="F15" s="31"/>
      <c r="G15" s="31"/>
      <c r="M15" s="69"/>
    </row>
    <row r="16" spans="2:13" ht="12.75">
      <c r="B16" s="31" t="s">
        <v>478</v>
      </c>
      <c r="D16" s="69"/>
      <c r="E16" s="22"/>
      <c r="F16" s="31"/>
      <c r="G16" s="31"/>
      <c r="M16" s="69"/>
    </row>
    <row r="17" spans="2:13" ht="12.75">
      <c r="B17" s="31"/>
      <c r="D17" s="69"/>
      <c r="E17" s="22"/>
      <c r="F17" s="31"/>
      <c r="G17" s="31"/>
      <c r="M17" s="69"/>
    </row>
    <row r="18" spans="2:13" ht="12.75">
      <c r="B18" s="31"/>
      <c r="D18" s="69"/>
      <c r="E18" s="22"/>
      <c r="F18" s="31"/>
      <c r="G18" s="31"/>
      <c r="M18" s="69"/>
    </row>
    <row r="19" spans="2:9" ht="12.75">
      <c r="B19" s="12" t="s">
        <v>511</v>
      </c>
      <c r="C19" s="13"/>
      <c r="D19" s="13"/>
      <c r="E19" s="13"/>
      <c r="F19" s="13"/>
      <c r="G19" s="13"/>
      <c r="H19" s="13"/>
      <c r="I19" s="13"/>
    </row>
    <row r="20" spans="2:13" ht="12.75">
      <c r="B20" s="31"/>
      <c r="D20" s="69"/>
      <c r="E20" s="22"/>
      <c r="F20" s="31"/>
      <c r="G20" s="31"/>
      <c r="M20" s="69"/>
    </row>
    <row r="21" spans="2:13" ht="12.75">
      <c r="B21" s="31" t="s">
        <v>510</v>
      </c>
      <c r="D21" s="69"/>
      <c r="E21" s="22"/>
      <c r="F21" s="31"/>
      <c r="G21" s="31"/>
      <c r="M21" s="69"/>
    </row>
    <row r="22" spans="2:13" ht="12.75">
      <c r="B22" t="s">
        <v>512</v>
      </c>
      <c r="D22" s="69"/>
      <c r="E22" s="22"/>
      <c r="F22" s="31"/>
      <c r="G22" s="31"/>
      <c r="M22" s="69"/>
    </row>
    <row r="24" ht="12.75">
      <c r="B24" s="91" t="s">
        <v>541</v>
      </c>
    </row>
    <row r="25" ht="12.75">
      <c r="B25" t="s">
        <v>513</v>
      </c>
    </row>
    <row r="26" spans="2:3" ht="12.75">
      <c r="B26" t="s">
        <v>514</v>
      </c>
      <c r="C26" t="s">
        <v>515</v>
      </c>
    </row>
    <row r="27" spans="2:3" ht="12.75">
      <c r="B27" t="s">
        <v>0</v>
      </c>
      <c r="C27" t="s">
        <v>516</v>
      </c>
    </row>
    <row r="28" ht="12.75">
      <c r="C28" t="s">
        <v>517</v>
      </c>
    </row>
    <row r="29" ht="12.75">
      <c r="C29" t="s">
        <v>518</v>
      </c>
    </row>
    <row r="30" ht="12.75">
      <c r="C30" t="s">
        <v>519</v>
      </c>
    </row>
    <row r="32" ht="12.75">
      <c r="B32" t="s">
        <v>520</v>
      </c>
    </row>
    <row r="34" ht="12.75">
      <c r="B34" s="9" t="s">
        <v>6</v>
      </c>
    </row>
    <row r="35" spans="1:5" ht="12.75">
      <c r="A35" s="7" t="s">
        <v>103</v>
      </c>
      <c r="B35" t="s">
        <v>105</v>
      </c>
      <c r="E35" t="s">
        <v>527</v>
      </c>
    </row>
    <row r="36" spans="1:20" ht="12.75">
      <c r="A36" s="7" t="s">
        <v>104</v>
      </c>
      <c r="B36" t="s">
        <v>106</v>
      </c>
      <c r="C36" s="7" t="s">
        <v>13</v>
      </c>
      <c r="D36" s="7" t="s">
        <v>5</v>
      </c>
      <c r="E36" s="7" t="s">
        <v>26</v>
      </c>
      <c r="F36" s="7" t="s">
        <v>27</v>
      </c>
      <c r="G36" s="7" t="s">
        <v>28</v>
      </c>
      <c r="H36" s="7" t="s">
        <v>29</v>
      </c>
      <c r="I36" s="7" t="s">
        <v>30</v>
      </c>
      <c r="O36" s="7" t="s">
        <v>0</v>
      </c>
      <c r="P36" s="7" t="s">
        <v>0</v>
      </c>
      <c r="Q36" s="7" t="s">
        <v>0</v>
      </c>
      <c r="R36" s="7" t="s">
        <v>0</v>
      </c>
      <c r="S36" s="7" t="s">
        <v>0</v>
      </c>
      <c r="T36" t="s">
        <v>0</v>
      </c>
    </row>
    <row r="37" ht="12.75">
      <c r="C37" t="s">
        <v>0</v>
      </c>
    </row>
    <row r="38" spans="1:9" ht="12.75">
      <c r="A38" s="22" t="str">
        <f>'Lead Worksheet'!B44</f>
        <v>A</v>
      </c>
      <c r="B38" s="102">
        <v>0.8051304684135236</v>
      </c>
      <c r="C38" t="s">
        <v>521</v>
      </c>
      <c r="D38" s="38">
        <v>650000</v>
      </c>
      <c r="E38" s="38">
        <v>45000</v>
      </c>
      <c r="F38" s="38">
        <v>40000</v>
      </c>
      <c r="G38" s="38">
        <v>38000</v>
      </c>
      <c r="H38" s="38">
        <v>35000</v>
      </c>
      <c r="I38" s="38">
        <v>35000</v>
      </c>
    </row>
    <row r="39" spans="1:9" ht="12.75">
      <c r="A39" s="22" t="str">
        <f>'Lead Worksheet'!B45</f>
        <v>B</v>
      </c>
      <c r="B39" s="102">
        <v>0.05128061100957611</v>
      </c>
      <c r="C39" t="s">
        <v>522</v>
      </c>
      <c r="D39" s="38">
        <v>820000</v>
      </c>
      <c r="E39" s="38">
        <v>55000</v>
      </c>
      <c r="F39" s="38">
        <v>60000</v>
      </c>
      <c r="G39" s="38">
        <v>60000</v>
      </c>
      <c r="H39" s="38">
        <v>58000</v>
      </c>
      <c r="I39" s="38">
        <v>55000</v>
      </c>
    </row>
    <row r="40" spans="1:9" ht="12.75">
      <c r="A40" s="22" t="str">
        <f>'Lead Worksheet'!B46</f>
        <v>C</v>
      </c>
      <c r="B40" s="102">
        <v>1</v>
      </c>
      <c r="C40" t="s">
        <v>523</v>
      </c>
      <c r="D40" s="38">
        <v>540000</v>
      </c>
      <c r="E40" s="38">
        <v>25000</v>
      </c>
      <c r="F40" s="38">
        <v>20000</v>
      </c>
      <c r="G40" s="38">
        <v>20000</v>
      </c>
      <c r="H40" s="38">
        <v>18000</v>
      </c>
      <c r="I40" s="38">
        <v>17000</v>
      </c>
    </row>
    <row r="41" spans="1:9" ht="12.75">
      <c r="A41" s="22" t="str">
        <f>'Lead Worksheet'!B47</f>
        <v>D</v>
      </c>
      <c r="B41" s="102">
        <v>1</v>
      </c>
      <c r="C41" t="s">
        <v>524</v>
      </c>
      <c r="D41" s="38">
        <v>701000</v>
      </c>
      <c r="E41" s="38">
        <v>35000</v>
      </c>
      <c r="F41" s="38">
        <v>30000</v>
      </c>
      <c r="G41" s="38">
        <v>30000</v>
      </c>
      <c r="H41" s="38">
        <v>28000</v>
      </c>
      <c r="I41" s="38">
        <v>27000</v>
      </c>
    </row>
    <row r="42" spans="1:9" ht="12.75">
      <c r="A42" s="22" t="str">
        <f>'Lead Worksheet'!B48</f>
        <v>E</v>
      </c>
      <c r="B42" s="102">
        <v>0</v>
      </c>
      <c r="C42" t="s">
        <v>525</v>
      </c>
      <c r="D42" s="38">
        <v>490000</v>
      </c>
      <c r="E42" s="38">
        <v>50000</v>
      </c>
      <c r="F42" s="38">
        <v>45000</v>
      </c>
      <c r="G42" s="38">
        <v>42000</v>
      </c>
      <c r="H42" s="38">
        <v>40000</v>
      </c>
      <c r="I42" s="38">
        <v>40000</v>
      </c>
    </row>
    <row r="43" spans="1:9" ht="12.75">
      <c r="A43" s="22" t="s">
        <v>0</v>
      </c>
      <c r="B43" s="10" t="s">
        <v>0</v>
      </c>
      <c r="C43" t="s">
        <v>552</v>
      </c>
      <c r="D43" s="38">
        <f aca="true" t="shared" si="0" ref="D43:I43">SUMPRODUCT(D38:D42,$B$38:$B$42)</f>
        <v>1806384.905496643</v>
      </c>
      <c r="E43" s="38">
        <f t="shared" si="0"/>
        <v>99051.30468413525</v>
      </c>
      <c r="F43" s="38">
        <f t="shared" si="0"/>
        <v>85282.0553971155</v>
      </c>
      <c r="G43" s="38">
        <f t="shared" si="0"/>
        <v>83671.79446028847</v>
      </c>
      <c r="H43" s="38">
        <f t="shared" si="0"/>
        <v>77153.84183302874</v>
      </c>
      <c r="I43" s="38">
        <f t="shared" si="0"/>
        <v>75000.00000000001</v>
      </c>
    </row>
    <row r="44" spans="1:9" ht="12.75">
      <c r="A44" s="22"/>
      <c r="B44" s="10"/>
      <c r="C44" t="s">
        <v>553</v>
      </c>
      <c r="D44" s="38"/>
      <c r="E44" s="38">
        <v>200000</v>
      </c>
      <c r="F44" s="38">
        <v>150000</v>
      </c>
      <c r="G44" s="38">
        <v>120000</v>
      </c>
      <c r="H44" s="38">
        <v>100000</v>
      </c>
      <c r="I44" s="38">
        <v>75000</v>
      </c>
    </row>
    <row r="46" ht="12.75">
      <c r="B46" t="s">
        <v>526</v>
      </c>
    </row>
    <row r="48" spans="2:8" ht="12.75">
      <c r="B48" t="s">
        <v>543</v>
      </c>
      <c r="H48" t="s">
        <v>542</v>
      </c>
    </row>
    <row r="49" ht="12.75">
      <c r="B49" t="s">
        <v>544</v>
      </c>
    </row>
    <row r="50" ht="12.75">
      <c r="B50" t="s">
        <v>545</v>
      </c>
    </row>
    <row r="51" ht="12.75">
      <c r="B51" t="s">
        <v>546</v>
      </c>
    </row>
    <row r="52" ht="12.75">
      <c r="B52" t="s">
        <v>547</v>
      </c>
    </row>
    <row r="54" ht="12.75">
      <c r="B54" t="s">
        <v>548</v>
      </c>
    </row>
    <row r="55" ht="12.75">
      <c r="B55" t="s">
        <v>549</v>
      </c>
    </row>
    <row r="56" ht="12.75">
      <c r="B56" t="s">
        <v>0</v>
      </c>
    </row>
    <row r="57" ht="12.75">
      <c r="B57" t="s">
        <v>550</v>
      </c>
    </row>
    <row r="59" ht="12.75">
      <c r="B59" t="s">
        <v>551</v>
      </c>
    </row>
    <row r="60" ht="12.75">
      <c r="B60" t="s">
        <v>554</v>
      </c>
    </row>
    <row r="62" ht="12.75">
      <c r="B62" s="11" t="s">
        <v>555</v>
      </c>
    </row>
    <row r="64" ht="12.75">
      <c r="B64" t="s">
        <v>607</v>
      </c>
    </row>
    <row r="65" ht="12.75">
      <c r="B65" t="s">
        <v>608</v>
      </c>
    </row>
    <row r="66" ht="12.75">
      <c r="B66" t="s">
        <v>609</v>
      </c>
    </row>
    <row r="67" ht="12.75">
      <c r="B67" t="s">
        <v>610</v>
      </c>
    </row>
    <row r="68" spans="3:4" ht="12.75">
      <c r="C68" t="s">
        <v>556</v>
      </c>
      <c r="D68" t="s">
        <v>558</v>
      </c>
    </row>
    <row r="69" spans="3:4" ht="12.75">
      <c r="C69" t="s">
        <v>611</v>
      </c>
      <c r="D69" t="s">
        <v>557</v>
      </c>
    </row>
    <row r="70" ht="12.75">
      <c r="B70" t="s">
        <v>612</v>
      </c>
    </row>
    <row r="71" ht="12.75">
      <c r="B71" t="s">
        <v>625</v>
      </c>
    </row>
    <row r="73" ht="12.75">
      <c r="B73" s="11" t="s">
        <v>613</v>
      </c>
    </row>
  </sheetData>
  <conditionalFormatting sqref="I9:I12">
    <cfRule type="cellIs" priority="1" dxfId="0" operator="lessThan" stopIfTrue="1">
      <formula>$I$3</formula>
    </cfRule>
  </conditionalFormatting>
  <printOptions/>
  <pageMargins left="0.75" right="0.75" top="1" bottom="1" header="0.5" footer="0.5"/>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dimension ref="A1:G31"/>
  <sheetViews>
    <sheetView showGridLines="0" workbookViewId="0" topLeftCell="A1">
      <selection activeCell="A1" sqref="A1"/>
    </sheetView>
  </sheetViews>
  <sheetFormatPr defaultColWidth="9.140625" defaultRowHeight="12.75"/>
  <cols>
    <col min="1" max="1" width="2.28125" style="0" customWidth="1"/>
    <col min="2" max="2" width="6.421875" style="0" bestFit="1" customWidth="1"/>
    <col min="3" max="3" width="23.421875" style="0" bestFit="1" customWidth="1"/>
    <col min="4" max="5" width="14.28125" style="0" bestFit="1" customWidth="1"/>
    <col min="6" max="6" width="10.57421875" style="0" bestFit="1" customWidth="1"/>
    <col min="7" max="7" width="12.00390625" style="0" bestFit="1" customWidth="1"/>
  </cols>
  <sheetData>
    <row r="1" ht="12.75">
      <c r="A1" s="11" t="s">
        <v>559</v>
      </c>
    </row>
    <row r="2" ht="12.75">
      <c r="A2" s="11" t="s">
        <v>560</v>
      </c>
    </row>
    <row r="3" ht="12.75">
      <c r="A3" s="11" t="s">
        <v>561</v>
      </c>
    </row>
    <row r="6" ht="13.5" thickBot="1">
      <c r="A6" t="s">
        <v>562</v>
      </c>
    </row>
    <row r="7" spans="2:5" ht="13.5" thickBot="1">
      <c r="B7" s="96" t="s">
        <v>563</v>
      </c>
      <c r="C7" s="96" t="s">
        <v>564</v>
      </c>
      <c r="D7" s="96" t="s">
        <v>565</v>
      </c>
      <c r="E7" s="96" t="s">
        <v>566</v>
      </c>
    </row>
    <row r="8" spans="2:5" ht="13.5" thickBot="1">
      <c r="B8" s="95" t="s">
        <v>573</v>
      </c>
      <c r="C8" s="95" t="s">
        <v>574</v>
      </c>
      <c r="D8" s="98">
        <v>0</v>
      </c>
      <c r="E8" s="98">
        <v>1806384.905496643</v>
      </c>
    </row>
    <row r="11" ht="13.5" thickBot="1">
      <c r="A11" t="s">
        <v>567</v>
      </c>
    </row>
    <row r="12" spans="2:5" ht="13.5" thickBot="1">
      <c r="B12" s="96" t="s">
        <v>563</v>
      </c>
      <c r="C12" s="96" t="s">
        <v>564</v>
      </c>
      <c r="D12" s="96" t="s">
        <v>565</v>
      </c>
      <c r="E12" s="96" t="s">
        <v>566</v>
      </c>
    </row>
    <row r="13" spans="2:5" ht="12.75">
      <c r="B13" s="97" t="s">
        <v>575</v>
      </c>
      <c r="C13" s="97" t="s">
        <v>576</v>
      </c>
      <c r="D13" s="99">
        <v>0</v>
      </c>
      <c r="E13" s="99">
        <v>0.8051304684135236</v>
      </c>
    </row>
    <row r="14" spans="2:5" ht="12.75">
      <c r="B14" s="97" t="s">
        <v>577</v>
      </c>
      <c r="C14" s="97" t="s">
        <v>578</v>
      </c>
      <c r="D14" s="99">
        <v>0</v>
      </c>
      <c r="E14" s="99">
        <v>0.05128061100957611</v>
      </c>
    </row>
    <row r="15" spans="2:5" ht="12.75">
      <c r="B15" s="97" t="s">
        <v>579</v>
      </c>
      <c r="C15" s="97" t="s">
        <v>580</v>
      </c>
      <c r="D15" s="99">
        <v>0</v>
      </c>
      <c r="E15" s="99">
        <v>1</v>
      </c>
    </row>
    <row r="16" spans="2:5" ht="12.75">
      <c r="B16" s="97" t="s">
        <v>581</v>
      </c>
      <c r="C16" s="97" t="s">
        <v>582</v>
      </c>
      <c r="D16" s="99">
        <v>0</v>
      </c>
      <c r="E16" s="99">
        <v>1</v>
      </c>
    </row>
    <row r="17" spans="2:5" ht="13.5" thickBot="1">
      <c r="B17" s="95" t="s">
        <v>583</v>
      </c>
      <c r="C17" s="95" t="s">
        <v>584</v>
      </c>
      <c r="D17" s="100">
        <v>0</v>
      </c>
      <c r="E17" s="100">
        <v>0</v>
      </c>
    </row>
    <row r="20" ht="13.5" thickBot="1">
      <c r="A20" t="s">
        <v>568</v>
      </c>
    </row>
    <row r="21" spans="2:7" ht="13.5" thickBot="1">
      <c r="B21" s="96" t="s">
        <v>563</v>
      </c>
      <c r="C21" s="96" t="s">
        <v>564</v>
      </c>
      <c r="D21" s="96" t="s">
        <v>569</v>
      </c>
      <c r="E21" s="96" t="s">
        <v>570</v>
      </c>
      <c r="F21" s="96" t="s">
        <v>571</v>
      </c>
      <c r="G21" s="96" t="s">
        <v>572</v>
      </c>
    </row>
    <row r="22" spans="2:7" ht="12.75">
      <c r="B22" s="97" t="s">
        <v>585</v>
      </c>
      <c r="C22" s="97" t="s">
        <v>586</v>
      </c>
      <c r="D22" s="101">
        <v>99051.30468413525</v>
      </c>
      <c r="E22" s="97" t="s">
        <v>587</v>
      </c>
      <c r="F22" s="97" t="s">
        <v>588</v>
      </c>
      <c r="G22" s="97">
        <v>100948.69531586475</v>
      </c>
    </row>
    <row r="23" spans="2:7" ht="12.75">
      <c r="B23" s="97" t="s">
        <v>589</v>
      </c>
      <c r="C23" s="97" t="s">
        <v>590</v>
      </c>
      <c r="D23" s="101">
        <v>85282.0553971155</v>
      </c>
      <c r="E23" s="97" t="s">
        <v>591</v>
      </c>
      <c r="F23" s="97" t="s">
        <v>588</v>
      </c>
      <c r="G23" s="97">
        <v>64717.9446028845</v>
      </c>
    </row>
    <row r="24" spans="2:7" ht="12.75">
      <c r="B24" s="97" t="s">
        <v>592</v>
      </c>
      <c r="C24" s="97" t="s">
        <v>593</v>
      </c>
      <c r="D24" s="101">
        <v>83671.79446028847</v>
      </c>
      <c r="E24" s="97" t="s">
        <v>594</v>
      </c>
      <c r="F24" s="97" t="s">
        <v>588</v>
      </c>
      <c r="G24" s="97">
        <v>36328.20553971153</v>
      </c>
    </row>
    <row r="25" spans="2:7" ht="12.75">
      <c r="B25" s="97" t="s">
        <v>595</v>
      </c>
      <c r="C25" s="97" t="s">
        <v>596</v>
      </c>
      <c r="D25" s="101">
        <v>77153.84183302874</v>
      </c>
      <c r="E25" s="97" t="s">
        <v>597</v>
      </c>
      <c r="F25" s="97" t="s">
        <v>588</v>
      </c>
      <c r="G25" s="97">
        <v>22846.15816697126</v>
      </c>
    </row>
    <row r="26" spans="2:7" ht="12.75">
      <c r="B26" s="97" t="s">
        <v>598</v>
      </c>
      <c r="C26" s="97" t="s">
        <v>599</v>
      </c>
      <c r="D26" s="101">
        <v>75000</v>
      </c>
      <c r="E26" s="97" t="s">
        <v>600</v>
      </c>
      <c r="F26" s="97" t="s">
        <v>601</v>
      </c>
      <c r="G26" s="97">
        <v>0</v>
      </c>
    </row>
    <row r="27" spans="2:7" ht="12.75">
      <c r="B27" s="97" t="s">
        <v>575</v>
      </c>
      <c r="C27" s="97" t="s">
        <v>576</v>
      </c>
      <c r="D27" s="99">
        <v>0.8051304684135236</v>
      </c>
      <c r="E27" s="97" t="s">
        <v>602</v>
      </c>
      <c r="F27" s="97" t="s">
        <v>601</v>
      </c>
      <c r="G27" s="99">
        <v>0</v>
      </c>
    </row>
    <row r="28" spans="2:7" ht="12.75">
      <c r="B28" s="97" t="s">
        <v>577</v>
      </c>
      <c r="C28" s="97" t="s">
        <v>578</v>
      </c>
      <c r="D28" s="99">
        <v>0.05128061100957611</v>
      </c>
      <c r="E28" s="97" t="s">
        <v>603</v>
      </c>
      <c r="F28" s="97" t="s">
        <v>601</v>
      </c>
      <c r="G28" s="99">
        <v>0</v>
      </c>
    </row>
    <row r="29" spans="2:7" ht="12.75">
      <c r="B29" s="97" t="s">
        <v>579</v>
      </c>
      <c r="C29" s="97" t="s">
        <v>580</v>
      </c>
      <c r="D29" s="99">
        <v>1</v>
      </c>
      <c r="E29" s="97" t="s">
        <v>604</v>
      </c>
      <c r="F29" s="97" t="s">
        <v>601</v>
      </c>
      <c r="G29" s="99">
        <v>0</v>
      </c>
    </row>
    <row r="30" spans="2:7" ht="12.75">
      <c r="B30" s="97" t="s">
        <v>581</v>
      </c>
      <c r="C30" s="97" t="s">
        <v>582</v>
      </c>
      <c r="D30" s="99">
        <v>1</v>
      </c>
      <c r="E30" s="97" t="s">
        <v>605</v>
      </c>
      <c r="F30" s="97" t="s">
        <v>601</v>
      </c>
      <c r="G30" s="99">
        <v>0</v>
      </c>
    </row>
    <row r="31" spans="2:7" ht="13.5" thickBot="1">
      <c r="B31" s="95" t="s">
        <v>583</v>
      </c>
      <c r="C31" s="95" t="s">
        <v>584</v>
      </c>
      <c r="D31" s="100">
        <v>0</v>
      </c>
      <c r="E31" s="95" t="s">
        <v>606</v>
      </c>
      <c r="F31" s="95" t="s">
        <v>601</v>
      </c>
      <c r="G31" s="100">
        <v>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 Evans</dc:creator>
  <cp:keywords/>
  <dc:description/>
  <cp:lastModifiedBy>Matt H. Evans</cp:lastModifiedBy>
  <dcterms:created xsi:type="dcterms:W3CDTF">2002-03-16T23:39:12Z</dcterms:created>
  <dcterms:modified xsi:type="dcterms:W3CDTF">2003-03-07T22:55:47Z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